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Cornelia\Desktop\igfawebsite\html\resources\"/>
    </mc:Choice>
  </mc:AlternateContent>
  <xr:revisionPtr revIDLastSave="0" documentId="8_{97A92D0D-AB59-4210-8EF9-6CA88524C30E}" xr6:coauthVersionLast="47" xr6:coauthVersionMax="47" xr10:uidLastSave="{00000000-0000-0000-0000-000000000000}"/>
  <bookViews>
    <workbookView xWindow="-120" yWindow="-120" windowWidth="29040" windowHeight="15720" tabRatio="895" xr2:uid="{00000000-000D-0000-FFFF-FFFF00000000}"/>
  </bookViews>
  <sheets>
    <sheet name="Delivery of compounds 2021" sheetId="62" r:id="rId1"/>
    <sheet name="Delivery of compounds 2020" sheetId="63" r:id="rId2"/>
    <sheet name="Deliveries outside NI  " sheetId="46" r:id="rId3"/>
    <sheet name="Raw material usage  " sheetId="47" r:id="rId4"/>
    <sheet name="Raw materials sold direct " sheetId="9" r:id="rId5"/>
    <sheet name="Graphs" sheetId="57" r:id="rId6"/>
    <sheet name="Sheet1" sheetId="44" state="hidden" r:id="rId7"/>
  </sheets>
  <definedNames>
    <definedName name="ACTUALA" localSheetId="1">#REF!</definedName>
    <definedName name="ACTUALA" localSheetId="0">#REF!</definedName>
    <definedName name="ACTUALA" localSheetId="5">#REF!</definedName>
    <definedName name="ACTUALA" localSheetId="3">'Raw material usage  '!$G$10:$G$31</definedName>
    <definedName name="ACTUALA" localSheetId="4">'Raw materials sold direct '!$G$12:$G$32</definedName>
    <definedName name="ACTUALA">#REF!</definedName>
    <definedName name="ACTUALB" localSheetId="1">#REF!</definedName>
    <definedName name="ACTUALB" localSheetId="0">#REF!</definedName>
    <definedName name="ACTUALB" localSheetId="5">#REF!</definedName>
    <definedName name="ACTUALB" localSheetId="3">'Raw material usage  '!#REF!</definedName>
    <definedName name="ACTUALB" localSheetId="4">'Raw materials sold direct '!#REF!</definedName>
    <definedName name="ACTUALB">#REF!</definedName>
    <definedName name="b" localSheetId="1">#REF!</definedName>
    <definedName name="b" localSheetId="0">#REF!</definedName>
    <definedName name="b">#REF!</definedName>
    <definedName name="barlni_q1" localSheetId="1">#REF!</definedName>
    <definedName name="barlni_q1" localSheetId="0">#REF!</definedName>
    <definedName name="barlni_q1" localSheetId="5">#REF!</definedName>
    <definedName name="barlni_q1" localSheetId="3">'Raw material usage  '!$C$11</definedName>
    <definedName name="barlni_q1" localSheetId="4">'Raw materials sold direct '!$C$13</definedName>
    <definedName name="barlni_q1">#REF!</definedName>
    <definedName name="barlni_q2" localSheetId="1">#REF!</definedName>
    <definedName name="barlni_q2" localSheetId="0">#REF!</definedName>
    <definedName name="barlni_q2" localSheetId="5">#REF!</definedName>
    <definedName name="barlni_q2" localSheetId="3">'Raw material usage  '!$D$11</definedName>
    <definedName name="barlni_q2" localSheetId="4">'Raw materials sold direct '!$D$13</definedName>
    <definedName name="barlni_q2">#REF!</definedName>
    <definedName name="barlni_q3" localSheetId="1">#REF!</definedName>
    <definedName name="barlni_q3" localSheetId="0">#REF!</definedName>
    <definedName name="barlni_q3" localSheetId="5">#REF!</definedName>
    <definedName name="barlni_q3" localSheetId="3">'Raw material usage  '!$E$11</definedName>
    <definedName name="barlni_q3" localSheetId="4">'Raw materials sold direct '!$E$13</definedName>
    <definedName name="barlni_q3">#REF!</definedName>
    <definedName name="barlni_q4" localSheetId="1">#REF!</definedName>
    <definedName name="barlni_q4" localSheetId="0">#REF!</definedName>
    <definedName name="barlni_q4" localSheetId="5">#REF!</definedName>
    <definedName name="barlni_q4" localSheetId="3">'Raw material usage  '!$F$11</definedName>
    <definedName name="barlni_q4" localSheetId="4">'Raw materials sold direct '!$F$13</definedName>
    <definedName name="barlni_q4">#REF!</definedName>
    <definedName name="barlni_tot" localSheetId="1">#REF!</definedName>
    <definedName name="barlni_tot" localSheetId="0">#REF!</definedName>
    <definedName name="barlni_tot" localSheetId="5">#REF!</definedName>
    <definedName name="barlni_tot" localSheetId="3">'Raw material usage  '!$G$11</definedName>
    <definedName name="barlni_tot" localSheetId="4">'Raw materials sold direct '!$G$13</definedName>
    <definedName name="barlni_tot">#REF!</definedName>
    <definedName name="barloth_q1" localSheetId="1">#REF!</definedName>
    <definedName name="barloth_q1" localSheetId="0">#REF!</definedName>
    <definedName name="barloth_q1" localSheetId="5">#REF!</definedName>
    <definedName name="barloth_q1" localSheetId="3">'Raw material usage  '!#REF!</definedName>
    <definedName name="barloth_q1" localSheetId="4">'Raw materials sold direct '!#REF!</definedName>
    <definedName name="barloth_q1">#REF!</definedName>
    <definedName name="barloth_q2" localSheetId="1">#REF!</definedName>
    <definedName name="barloth_q2" localSheetId="0">#REF!</definedName>
    <definedName name="barloth_q2" localSheetId="5">#REF!</definedName>
    <definedName name="barloth_q2" localSheetId="3">'Raw material usage  '!#REF!</definedName>
    <definedName name="barloth_q2" localSheetId="4">'Raw materials sold direct '!#REF!</definedName>
    <definedName name="barloth_q2">#REF!</definedName>
    <definedName name="barloth_q3" localSheetId="1">#REF!</definedName>
    <definedName name="barloth_q3" localSheetId="0">#REF!</definedName>
    <definedName name="barloth_q3" localSheetId="5">#REF!</definedName>
    <definedName name="barloth_q3" localSheetId="3">'Raw material usage  '!#REF!</definedName>
    <definedName name="barloth_q3" localSheetId="4">'Raw materials sold direct '!#REF!</definedName>
    <definedName name="barloth_q3">#REF!</definedName>
    <definedName name="barloth_q4" localSheetId="1">#REF!</definedName>
    <definedName name="barloth_q4" localSheetId="0">#REF!</definedName>
    <definedName name="barloth_q4" localSheetId="5">#REF!</definedName>
    <definedName name="barloth_q4" localSheetId="3">'Raw material usage  '!#REF!</definedName>
    <definedName name="barloth_q4" localSheetId="4">'Raw materials sold direct '!#REF!</definedName>
    <definedName name="barloth_q4">#REF!</definedName>
    <definedName name="barloth_tot" localSheetId="1">#REF!</definedName>
    <definedName name="barloth_tot" localSheetId="0">#REF!</definedName>
    <definedName name="barloth_tot" localSheetId="5">#REF!</definedName>
    <definedName name="barloth_tot" localSheetId="3">'Raw material usage  '!#REF!</definedName>
    <definedName name="barloth_tot" localSheetId="4">'Raw materials sold direct '!#REF!</definedName>
    <definedName name="barloth_tot">#REF!</definedName>
    <definedName name="bean_q1" localSheetId="1">#REF!</definedName>
    <definedName name="bean_q1" localSheetId="0">#REF!</definedName>
    <definedName name="bean_q1" localSheetId="5">#REF!</definedName>
    <definedName name="bean_q1" localSheetId="3">'Raw material usage  '!$C$23</definedName>
    <definedName name="bean_q1" localSheetId="4">'Raw materials sold direct '!$C$24</definedName>
    <definedName name="bean_q1">#REF!</definedName>
    <definedName name="bean_q2" localSheetId="1">#REF!</definedName>
    <definedName name="bean_q2" localSheetId="0">#REF!</definedName>
    <definedName name="bean_q2" localSheetId="5">#REF!</definedName>
    <definedName name="bean_q2" localSheetId="3">'Raw material usage  '!$D$23</definedName>
    <definedName name="bean_q2" localSheetId="4">'Raw materials sold direct '!$D$24</definedName>
    <definedName name="bean_q2">#REF!</definedName>
    <definedName name="bean_q3" localSheetId="1">#REF!</definedName>
    <definedName name="bean_q3" localSheetId="0">#REF!</definedName>
    <definedName name="bean_q3" localSheetId="5">#REF!</definedName>
    <definedName name="bean_q3" localSheetId="3">'Raw material usage  '!$E$23</definedName>
    <definedName name="bean_q3" localSheetId="4">'Raw materials sold direct '!$E$24</definedName>
    <definedName name="bean_q3">#REF!</definedName>
    <definedName name="bean_q4" localSheetId="1">#REF!</definedName>
    <definedName name="bean_q4" localSheetId="0">#REF!</definedName>
    <definedName name="bean_q4" localSheetId="5">#REF!</definedName>
    <definedName name="bean_q4" localSheetId="3">'Raw material usage  '!$F$23</definedName>
    <definedName name="bean_q4" localSheetId="4">'Raw materials sold direct '!$F$24</definedName>
    <definedName name="bean_q4">#REF!</definedName>
    <definedName name="bean_tot" localSheetId="1">#REF!</definedName>
    <definedName name="bean_tot" localSheetId="0">#REF!</definedName>
    <definedName name="bean_tot" localSheetId="5">#REF!</definedName>
    <definedName name="bean_tot" localSheetId="3">'Raw material usage  '!$G$23</definedName>
    <definedName name="bean_tot" localSheetId="4">'Raw materials sold direct '!$G$24</definedName>
    <definedName name="bean_tot">#REF!</definedName>
    <definedName name="bone_q1" localSheetId="1">#REF!</definedName>
    <definedName name="bone_q1" localSheetId="0">#REF!</definedName>
    <definedName name="bone_q1" localSheetId="5">#REF!</definedName>
    <definedName name="bone_q1" localSheetId="3">'Raw material usage  '!$C$20</definedName>
    <definedName name="bone_q1" localSheetId="4">'Raw materials sold direct '!#REF!</definedName>
    <definedName name="bone_q1">#REF!</definedName>
    <definedName name="bone_q2" localSheetId="1">#REF!</definedName>
    <definedName name="bone_q2" localSheetId="0">#REF!</definedName>
    <definedName name="bone_q2" localSheetId="5">#REF!</definedName>
    <definedName name="bone_q2" localSheetId="3">'Raw material usage  '!$D$20</definedName>
    <definedName name="bone_q2" localSheetId="4">'Raw materials sold direct '!#REF!</definedName>
    <definedName name="bone_q2">#REF!</definedName>
    <definedName name="bone_q3" localSheetId="1">#REF!</definedName>
    <definedName name="bone_q3" localSheetId="0">#REF!</definedName>
    <definedName name="bone_q3" localSheetId="5">#REF!</definedName>
    <definedName name="bone_q3" localSheetId="3">'Raw material usage  '!$E$20</definedName>
    <definedName name="bone_q3" localSheetId="4">'Raw materials sold direct '!#REF!</definedName>
    <definedName name="bone_q3">#REF!</definedName>
    <definedName name="bone_q4" localSheetId="1">#REF!</definedName>
    <definedName name="bone_q4" localSheetId="0">#REF!</definedName>
    <definedName name="bone_q4" localSheetId="5">#REF!</definedName>
    <definedName name="bone_q4" localSheetId="3">'Raw material usage  '!$F$20</definedName>
    <definedName name="bone_q4" localSheetId="4">'Raw materials sold direct '!#REF!</definedName>
    <definedName name="bone_q4">#REF!</definedName>
    <definedName name="bone_tot" localSheetId="1">#REF!</definedName>
    <definedName name="bone_tot" localSheetId="0">#REF!</definedName>
    <definedName name="bone_tot" localSheetId="5">#REF!</definedName>
    <definedName name="bone_tot" localSheetId="3">'Raw material usage  '!$G$20</definedName>
    <definedName name="bone_tot" localSheetId="4">'Raw materials sold direct '!#REF!</definedName>
    <definedName name="bone_tot">#REF!</definedName>
    <definedName name="cerby_q1" localSheetId="1">#REF!</definedName>
    <definedName name="cerby_q1" localSheetId="0">#REF!</definedName>
    <definedName name="cerby_q1" localSheetId="5">#REF!</definedName>
    <definedName name="cerby_q1" localSheetId="3">'Raw material usage  '!$C$15</definedName>
    <definedName name="cerby_q1" localSheetId="4">'Raw materials sold direct '!$C$17</definedName>
    <definedName name="cerby_q1">#REF!</definedName>
    <definedName name="cerby_q2" localSheetId="1">#REF!</definedName>
    <definedName name="cerby_q2" localSheetId="0">#REF!</definedName>
    <definedName name="cerby_q2" localSheetId="5">#REF!</definedName>
    <definedName name="cerby_q2" localSheetId="3">'Raw material usage  '!$D$15</definedName>
    <definedName name="cerby_q2" localSheetId="4">'Raw materials sold direct '!$D$17</definedName>
    <definedName name="cerby_q2">#REF!</definedName>
    <definedName name="cerby_q3" localSheetId="1">#REF!</definedName>
    <definedName name="cerby_q3" localSheetId="0">#REF!</definedName>
    <definedName name="cerby_q3" localSheetId="5">#REF!</definedName>
    <definedName name="cerby_q3" localSheetId="3">'Raw material usage  '!$E$15</definedName>
    <definedName name="cerby_q3" localSheetId="4">'Raw materials sold direct '!$E$17</definedName>
    <definedName name="cerby_q3">#REF!</definedName>
    <definedName name="cerby_q4" localSheetId="1">#REF!</definedName>
    <definedName name="cerby_q4" localSheetId="0">#REF!</definedName>
    <definedName name="cerby_q4" localSheetId="5">#REF!</definedName>
    <definedName name="cerby_q4" localSheetId="3">'Raw material usage  '!$F$15</definedName>
    <definedName name="cerby_q4" localSheetId="4">'Raw materials sold direct '!$F$17</definedName>
    <definedName name="cerby_q4">#REF!</definedName>
    <definedName name="cerby_tot" localSheetId="1">#REF!</definedName>
    <definedName name="cerby_tot" localSheetId="0">#REF!</definedName>
    <definedName name="cerby_tot" localSheetId="5">#REF!</definedName>
    <definedName name="cerby_tot" localSheetId="3">'Raw material usage  '!$G$15</definedName>
    <definedName name="cerby_tot" localSheetId="4">'Raw materials sold direct '!$G$17</definedName>
    <definedName name="cerby_tot">#REF!</definedName>
    <definedName name="citrus_q1" localSheetId="1">#REF!</definedName>
    <definedName name="citrus_q1" localSheetId="0">#REF!</definedName>
    <definedName name="citrus_q1" localSheetId="5">#REF!</definedName>
    <definedName name="citrus_q1" localSheetId="3">'Raw material usage  '!$C$24</definedName>
    <definedName name="citrus_q1" localSheetId="4">'Raw materials sold direct '!$C$25</definedName>
    <definedName name="citrus_q1">#REF!</definedName>
    <definedName name="citrus_q2" localSheetId="1">#REF!</definedName>
    <definedName name="citrus_q2" localSheetId="0">#REF!</definedName>
    <definedName name="citrus_q2" localSheetId="5">#REF!</definedName>
    <definedName name="citrus_q2" localSheetId="3">'Raw material usage  '!$D$24</definedName>
    <definedName name="citrus_q2" localSheetId="4">'Raw materials sold direct '!$D$25</definedName>
    <definedName name="citrus_q2">#REF!</definedName>
    <definedName name="citrus_q3" localSheetId="1">#REF!</definedName>
    <definedName name="citrus_q3" localSheetId="0">#REF!</definedName>
    <definedName name="citrus_q3" localSheetId="5">#REF!</definedName>
    <definedName name="citrus_q3" localSheetId="3">'Raw material usage  '!$E$24</definedName>
    <definedName name="citrus_q3" localSheetId="4">'Raw materials sold direct '!$E$25</definedName>
    <definedName name="citrus_q3">#REF!</definedName>
    <definedName name="citrus_q4" localSheetId="1">#REF!</definedName>
    <definedName name="citrus_q4" localSheetId="0">#REF!</definedName>
    <definedName name="citrus_q4" localSheetId="5">#REF!</definedName>
    <definedName name="citrus_q4" localSheetId="3">'Raw material usage  '!$F$24</definedName>
    <definedName name="citrus_q4" localSheetId="4">'Raw materials sold direct '!$F$25</definedName>
    <definedName name="citrus_q4">#REF!</definedName>
    <definedName name="citrus_tot" localSheetId="1">#REF!</definedName>
    <definedName name="citrus_tot" localSheetId="0">#REF!</definedName>
    <definedName name="citrus_tot" localSheetId="5">#REF!</definedName>
    <definedName name="citrus_tot" localSheetId="3">'Raw material usage  '!$G$24</definedName>
    <definedName name="citrus_tot" localSheetId="4">'Raw materials sold direct '!$G$25</definedName>
    <definedName name="citrus_tot">#REF!</definedName>
    <definedName name="fish_q1" localSheetId="1">#REF!</definedName>
    <definedName name="fish_q1" localSheetId="0">#REF!</definedName>
    <definedName name="fish_q1" localSheetId="5">#REF!</definedName>
    <definedName name="fish_q1" localSheetId="3">'Raw material usage  '!$C$19</definedName>
    <definedName name="fish_q1" localSheetId="4">'Raw materials sold direct '!$C$21</definedName>
    <definedName name="fish_q1">#REF!</definedName>
    <definedName name="fish_q2" localSheetId="1">#REF!</definedName>
    <definedName name="fish_q2" localSheetId="0">#REF!</definedName>
    <definedName name="fish_q2" localSheetId="5">#REF!</definedName>
    <definedName name="fish_q2" localSheetId="3">'Raw material usage  '!$D$19</definedName>
    <definedName name="fish_q2" localSheetId="4">'Raw materials sold direct '!$D$21</definedName>
    <definedName name="fish_q2">#REF!</definedName>
    <definedName name="fish_q3" localSheetId="1">#REF!</definedName>
    <definedName name="fish_q3" localSheetId="0">#REF!</definedName>
    <definedName name="fish_q3" localSheetId="5">#REF!</definedName>
    <definedName name="fish_q3" localSheetId="3">'Raw material usage  '!$E$19</definedName>
    <definedName name="fish_q3" localSheetId="4">'Raw materials sold direct '!$E$21</definedName>
    <definedName name="fish_q3">#REF!</definedName>
    <definedName name="fish_q4" localSheetId="1">#REF!</definedName>
    <definedName name="fish_q4" localSheetId="0">#REF!</definedName>
    <definedName name="fish_q4" localSheetId="5">#REF!</definedName>
    <definedName name="fish_q4" localSheetId="3">'Raw material usage  '!$F$19</definedName>
    <definedName name="fish_q4" localSheetId="4">'Raw materials sold direct '!$F$21</definedName>
    <definedName name="fish_q4">#REF!</definedName>
    <definedName name="fish_tot" localSheetId="1">#REF!</definedName>
    <definedName name="fish_tot" localSheetId="0">#REF!</definedName>
    <definedName name="fish_tot" localSheetId="5">#REF!</definedName>
    <definedName name="fish_tot" localSheetId="3">'Raw material usage  '!$G$19</definedName>
    <definedName name="fish_tot" localSheetId="4">'Raw materials sold direct '!$G$21</definedName>
    <definedName name="fish_tot">#REF!</definedName>
    <definedName name="forage_q1" localSheetId="1">#REF!</definedName>
    <definedName name="forage_q1" localSheetId="0">#REF!</definedName>
    <definedName name="forage_q1" localSheetId="5">#REF!</definedName>
    <definedName name="forage_q1" localSheetId="3">'Raw material usage  '!$C$25</definedName>
    <definedName name="forage_q1" localSheetId="4">'Raw materials sold direct '!$C$26</definedName>
    <definedName name="forage_q1">#REF!</definedName>
    <definedName name="forage_q2" localSheetId="1">#REF!</definedName>
    <definedName name="forage_q2" localSheetId="0">#REF!</definedName>
    <definedName name="forage_q2" localSheetId="5">#REF!</definedName>
    <definedName name="forage_q2" localSheetId="3">'Raw material usage  '!$D$25</definedName>
    <definedName name="forage_q2" localSheetId="4">'Raw materials sold direct '!$D$26</definedName>
    <definedName name="forage_q2">#REF!</definedName>
    <definedName name="forage_q3" localSheetId="1">#REF!</definedName>
    <definedName name="forage_q3" localSheetId="0">#REF!</definedName>
    <definedName name="forage_q3" localSheetId="5">#REF!</definedName>
    <definedName name="forage_q3" localSheetId="3">'Raw material usage  '!$E$25</definedName>
    <definedName name="forage_q3" localSheetId="4">'Raw materials sold direct '!$E$26</definedName>
    <definedName name="forage_q3">#REF!</definedName>
    <definedName name="forage_q4" localSheetId="1">#REF!</definedName>
    <definedName name="forage_q4" localSheetId="0">#REF!</definedName>
    <definedName name="forage_q4" localSheetId="5">#REF!</definedName>
    <definedName name="forage_q4" localSheetId="3">'Raw material usage  '!$F$25</definedName>
    <definedName name="forage_q4" localSheetId="4">'Raw materials sold direct '!$F$26</definedName>
    <definedName name="forage_q4">#REF!</definedName>
    <definedName name="forage_tot" localSheetId="1">#REF!</definedName>
    <definedName name="forage_tot" localSheetId="0">#REF!</definedName>
    <definedName name="forage_tot" localSheetId="5">#REF!</definedName>
    <definedName name="forage_tot" localSheetId="3">'Raw material usage  '!$G$25</definedName>
    <definedName name="forage_tot" localSheetId="4">'Raw materials sold direct '!$G$26</definedName>
    <definedName name="forage_tot">#REF!</definedName>
    <definedName name="maize_q1" localSheetId="1">#REF!</definedName>
    <definedName name="maize_q1" localSheetId="0">#REF!</definedName>
    <definedName name="maize_q1" localSheetId="5">#REF!</definedName>
    <definedName name="maize_q1" localSheetId="3">'Raw material usage  '!$C$12</definedName>
    <definedName name="maize_q1" localSheetId="4">'Raw materials sold direct '!$C$14</definedName>
    <definedName name="maize_q1">#REF!</definedName>
    <definedName name="maize_q2" localSheetId="1">#REF!</definedName>
    <definedName name="maize_q2" localSheetId="0">#REF!</definedName>
    <definedName name="maize_q2" localSheetId="5">#REF!</definedName>
    <definedName name="maize_q2" localSheetId="3">'Raw material usage  '!$D$12</definedName>
    <definedName name="maize_q2" localSheetId="4">'Raw materials sold direct '!$D$14</definedName>
    <definedName name="maize_q2">#REF!</definedName>
    <definedName name="maize_q3" localSheetId="1">#REF!</definedName>
    <definedName name="maize_q3" localSheetId="0">#REF!</definedName>
    <definedName name="maize_q3" localSheetId="5">#REF!</definedName>
    <definedName name="maize_q3" localSheetId="3">'Raw material usage  '!$E$12</definedName>
    <definedName name="maize_q3" localSheetId="4">'Raw materials sold direct '!$E$14</definedName>
    <definedName name="maize_q3">#REF!</definedName>
    <definedName name="maize_q4" localSheetId="1">#REF!</definedName>
    <definedName name="maize_q4" localSheetId="0">#REF!</definedName>
    <definedName name="maize_q4" localSheetId="5">#REF!</definedName>
    <definedName name="maize_q4" localSheetId="3">'Raw material usage  '!$F$12</definedName>
    <definedName name="maize_q4" localSheetId="4">'Raw materials sold direct '!$F$14</definedName>
    <definedName name="maize_q4">#REF!</definedName>
    <definedName name="maize_tot" localSheetId="1">#REF!</definedName>
    <definedName name="maize_tot" localSheetId="0">#REF!</definedName>
    <definedName name="maize_tot" localSheetId="5">#REF!</definedName>
    <definedName name="maize_tot" localSheetId="3">'Raw material usage  '!$G$12</definedName>
    <definedName name="maize_tot" localSheetId="4">'Raw materials sold direct '!$G$14</definedName>
    <definedName name="maize_tot">#REF!</definedName>
    <definedName name="maizegl_q1" localSheetId="1">#REF!</definedName>
    <definedName name="maizegl_q1" localSheetId="0">#REF!</definedName>
    <definedName name="maizegl_q1" localSheetId="5">#REF!</definedName>
    <definedName name="maizegl_q1" localSheetId="3">'Raw material usage  '!$C$13</definedName>
    <definedName name="maizegl_q1" localSheetId="4">'Raw materials sold direct '!$C$15</definedName>
    <definedName name="maizegl_q1">#REF!</definedName>
    <definedName name="maizegl_q2" localSheetId="1">#REF!</definedName>
    <definedName name="maizegl_q2" localSheetId="0">#REF!</definedName>
    <definedName name="maizegl_q2" localSheetId="5">#REF!</definedName>
    <definedName name="maizegl_q2" localSheetId="3">'Raw material usage  '!$D$13</definedName>
    <definedName name="maizegl_q2" localSheetId="4">'Raw materials sold direct '!$D$15</definedName>
    <definedName name="maizegl_q2">#REF!</definedName>
    <definedName name="maizegl_q3" localSheetId="1">#REF!</definedName>
    <definedName name="maizegl_q3" localSheetId="0">#REF!</definedName>
    <definedName name="maizegl_q3" localSheetId="5">#REF!</definedName>
    <definedName name="maizegl_q3" localSheetId="3">'Raw material usage  '!$E$13</definedName>
    <definedName name="maizegl_q3" localSheetId="4">'Raw materials sold direct '!$E$15</definedName>
    <definedName name="maizegl_q3">#REF!</definedName>
    <definedName name="maizegl_q4" localSheetId="1">#REF!</definedName>
    <definedName name="maizegl_q4" localSheetId="0">#REF!</definedName>
    <definedName name="maizegl_q4" localSheetId="5">#REF!</definedName>
    <definedName name="maizegl_q4" localSheetId="3">'Raw material usage  '!$F$13</definedName>
    <definedName name="maizegl_q4" localSheetId="4">'Raw materials sold direct '!$F$15</definedName>
    <definedName name="maizegl_q4">#REF!</definedName>
    <definedName name="maizegl_tot" localSheetId="1">#REF!</definedName>
    <definedName name="maizegl_tot" localSheetId="0">#REF!</definedName>
    <definedName name="maizegl_tot" localSheetId="5">#REF!</definedName>
    <definedName name="maizegl_tot" localSheetId="3">'Raw material usage  '!$G$13</definedName>
    <definedName name="maizegl_tot" localSheetId="4">'Raw materials sold direct '!$G$15</definedName>
    <definedName name="maizegl_tot">#REF!</definedName>
    <definedName name="malt_q1" localSheetId="1">#REF!</definedName>
    <definedName name="malt_q1" localSheetId="0">#REF!</definedName>
    <definedName name="malt_q1" localSheetId="5">#REF!</definedName>
    <definedName name="malt_q1" localSheetId="3">'Raw material usage  '!$C$14</definedName>
    <definedName name="malt_q1" localSheetId="4">'Raw materials sold direct '!$C$16</definedName>
    <definedName name="malt_q1">#REF!</definedName>
    <definedName name="malt_q2" localSheetId="1">#REF!</definedName>
    <definedName name="malt_q2" localSheetId="0">#REF!</definedName>
    <definedName name="malt_q2" localSheetId="5">#REF!</definedName>
    <definedName name="malt_q2" localSheetId="3">'Raw material usage  '!$D$14</definedName>
    <definedName name="malt_q2" localSheetId="4">'Raw materials sold direct '!$D$16</definedName>
    <definedName name="malt_q2">#REF!</definedName>
    <definedName name="malt_q3" localSheetId="1">#REF!</definedName>
    <definedName name="malt_q3" localSheetId="0">#REF!</definedName>
    <definedName name="malt_q3" localSheetId="5">#REF!</definedName>
    <definedName name="malt_q3" localSheetId="3">'Raw material usage  '!$E$14</definedName>
    <definedName name="malt_q3" localSheetId="4">'Raw materials sold direct '!$E$16</definedName>
    <definedName name="malt_q3">#REF!</definedName>
    <definedName name="malt_q4" localSheetId="1">#REF!</definedName>
    <definedName name="malt_q4" localSheetId="0">#REF!</definedName>
    <definedName name="malt_q4" localSheetId="5">#REF!</definedName>
    <definedName name="malt_q4" localSheetId="3">'Raw material usage  '!$F$14</definedName>
    <definedName name="malt_q4" localSheetId="4">'Raw materials sold direct '!$F$16</definedName>
    <definedName name="malt_q4">#REF!</definedName>
    <definedName name="malt_tot" localSheetId="1">#REF!</definedName>
    <definedName name="malt_tot" localSheetId="0">#REF!</definedName>
    <definedName name="malt_tot" localSheetId="5">#REF!</definedName>
    <definedName name="malt_tot" localSheetId="3">'Raw material usage  '!$G$14</definedName>
    <definedName name="malt_tot" localSheetId="4">'Raw materials sold direct '!$G$16</definedName>
    <definedName name="malt_tot">#REF!</definedName>
    <definedName name="milk_q1" localSheetId="1">#REF!</definedName>
    <definedName name="milk_q1" localSheetId="0">#REF!</definedName>
    <definedName name="milk_q1" localSheetId="5">#REF!</definedName>
    <definedName name="milk_q1" localSheetId="3">'Raw material usage  '!$C$21</definedName>
    <definedName name="milk_q1" localSheetId="4">'Raw materials sold direct '!$C$22</definedName>
    <definedName name="milk_q1">#REF!</definedName>
    <definedName name="milk_q2" localSheetId="1">#REF!</definedName>
    <definedName name="milk_q2" localSheetId="0">#REF!</definedName>
    <definedName name="milk_q2" localSheetId="5">#REF!</definedName>
    <definedName name="milk_q2" localSheetId="3">'Raw material usage  '!$D$21</definedName>
    <definedName name="milk_q2" localSheetId="4">'Raw materials sold direct '!$D$22</definedName>
    <definedName name="milk_q2">#REF!</definedName>
    <definedName name="milk_q3" localSheetId="1">#REF!</definedName>
    <definedName name="milk_q3" localSheetId="0">#REF!</definedName>
    <definedName name="milk_q3" localSheetId="5">#REF!</definedName>
    <definedName name="milk_q3" localSheetId="3">'Raw material usage  '!$E$21</definedName>
    <definedName name="milk_q3" localSheetId="4">'Raw materials sold direct '!$E$22</definedName>
    <definedName name="milk_q3">#REF!</definedName>
    <definedName name="milk_q4" localSheetId="1">#REF!</definedName>
    <definedName name="milk_q4" localSheetId="0">#REF!</definedName>
    <definedName name="milk_q4" localSheetId="5">#REF!</definedName>
    <definedName name="milk_q4" localSheetId="3">'Raw material usage  '!$F$21</definedName>
    <definedName name="milk_q4" localSheetId="4">'Raw materials sold direct '!$F$22</definedName>
    <definedName name="milk_q4">#REF!</definedName>
    <definedName name="milk_tot" localSheetId="1">#REF!</definedName>
    <definedName name="milk_tot" localSheetId="0">#REF!</definedName>
    <definedName name="milk_tot" localSheetId="5">#REF!</definedName>
    <definedName name="milk_tot" localSheetId="3">'Raw material usage  '!$G$21</definedName>
    <definedName name="milk_tot" localSheetId="4">'Raw materials sold direct '!$G$22</definedName>
    <definedName name="milk_tot">#REF!</definedName>
    <definedName name="minvit_q1" localSheetId="1">#REF!</definedName>
    <definedName name="minvit_q1" localSheetId="0">#REF!</definedName>
    <definedName name="minvit_q1" localSheetId="5">#REF!</definedName>
    <definedName name="minvit_q1" localSheetId="3">'Raw material usage  '!$C$27</definedName>
    <definedName name="minvit_q1" localSheetId="4">'Raw materials sold direct '!$C$28</definedName>
    <definedName name="minvit_q1">#REF!</definedName>
    <definedName name="minvit_q2" localSheetId="1">#REF!</definedName>
    <definedName name="minvit_q2" localSheetId="0">#REF!</definedName>
    <definedName name="minvit_q2" localSheetId="5">#REF!</definedName>
    <definedName name="minvit_q2" localSheetId="3">'Raw material usage  '!$D$27</definedName>
    <definedName name="minvit_q2" localSheetId="4">'Raw materials sold direct '!$D$28</definedName>
    <definedName name="minvit_q2">#REF!</definedName>
    <definedName name="minvit_q3" localSheetId="1">#REF!</definedName>
    <definedName name="minvit_q3" localSheetId="0">#REF!</definedName>
    <definedName name="minvit_q3" localSheetId="5">#REF!</definedName>
    <definedName name="minvit_q3" localSheetId="3">'Raw material usage  '!$E$27</definedName>
    <definedName name="minvit_q3" localSheetId="4">'Raw materials sold direct '!$E$28</definedName>
    <definedName name="minvit_q3">#REF!</definedName>
    <definedName name="minvit_q4" localSheetId="1">#REF!</definedName>
    <definedName name="minvit_q4" localSheetId="0">#REF!</definedName>
    <definedName name="minvit_q4" localSheetId="5">#REF!</definedName>
    <definedName name="minvit_q4" localSheetId="3">'Raw material usage  '!$F$27</definedName>
    <definedName name="minvit_q4" localSheetId="4">'Raw materials sold direct '!$F$28</definedName>
    <definedName name="minvit_q4">#REF!</definedName>
    <definedName name="minvit_tot" localSheetId="1">#REF!</definedName>
    <definedName name="minvit_tot" localSheetId="0">#REF!</definedName>
    <definedName name="minvit_tot" localSheetId="5">#REF!</definedName>
    <definedName name="minvit_tot" localSheetId="3">'Raw material usage  '!$G$27</definedName>
    <definedName name="minvit_tot" localSheetId="4">'Raw materials sold direct '!$G$28</definedName>
    <definedName name="minvit_tot">#REF!</definedName>
    <definedName name="mol_q1" localSheetId="1">#REF!</definedName>
    <definedName name="mol_q1" localSheetId="0">#REF!</definedName>
    <definedName name="mol_q1" localSheetId="5">#REF!</definedName>
    <definedName name="mol_q1" localSheetId="3">'Raw material usage  '!$C$26</definedName>
    <definedName name="mol_q1" localSheetId="4">'Raw materials sold direct '!$C$27</definedName>
    <definedName name="mol_q1">#REF!</definedName>
    <definedName name="mol_q2" localSheetId="1">#REF!</definedName>
    <definedName name="mol_q2" localSheetId="0">#REF!</definedName>
    <definedName name="mol_q2" localSheetId="5">#REF!</definedName>
    <definedName name="mol_q2" localSheetId="3">'Raw material usage  '!$D$26</definedName>
    <definedName name="mol_q2" localSheetId="4">'Raw materials sold direct '!$D$27</definedName>
    <definedName name="mol_q2">#REF!</definedName>
    <definedName name="mol_q3" localSheetId="1">#REF!</definedName>
    <definedName name="mol_q3" localSheetId="0">#REF!</definedName>
    <definedName name="mol_q3" localSheetId="5">#REF!</definedName>
    <definedName name="mol_q3" localSheetId="3">'Raw material usage  '!$E$26</definedName>
    <definedName name="mol_q3" localSheetId="4">'Raw materials sold direct '!$E$27</definedName>
    <definedName name="mol_q3">#REF!</definedName>
    <definedName name="mol_q4" localSheetId="1">#REF!</definedName>
    <definedName name="mol_q4" localSheetId="0">#REF!</definedName>
    <definedName name="mol_q4" localSheetId="5">#REF!</definedName>
    <definedName name="mol_q4" localSheetId="3">'Raw material usage  '!$F$26</definedName>
    <definedName name="mol_q4" localSheetId="4">'Raw materials sold direct '!$F$27</definedName>
    <definedName name="mol_q4">#REF!</definedName>
    <definedName name="mol_tot" localSheetId="1">#REF!</definedName>
    <definedName name="mol_tot" localSheetId="0">#REF!</definedName>
    <definedName name="mol_tot" localSheetId="5">#REF!</definedName>
    <definedName name="mol_tot" localSheetId="3">'Raw material usage  '!$G$26</definedName>
    <definedName name="mol_tot" localSheetId="4">'Raw materials sold direct '!$G$27</definedName>
    <definedName name="mol_tot">#REF!</definedName>
    <definedName name="NONRETURNS" localSheetId="1">#REF!</definedName>
    <definedName name="NONRETURNS" localSheetId="0">#REF!</definedName>
    <definedName name="NONRETURNS" localSheetId="3">#REF!</definedName>
    <definedName name="NONRETURNS">#REF!</definedName>
    <definedName name="oatsni_q1" localSheetId="1">#REF!</definedName>
    <definedName name="oatsni_q1" localSheetId="0">#REF!</definedName>
    <definedName name="oatsni_q1" localSheetId="5">#REF!</definedName>
    <definedName name="oatsni_q1" localSheetId="3">'Raw material usage  '!#REF!</definedName>
    <definedName name="oatsni_q1" localSheetId="4">'Raw materials sold direct '!#REF!</definedName>
    <definedName name="oatsni_q1">#REF!</definedName>
    <definedName name="oatsni_q2" localSheetId="1">#REF!</definedName>
    <definedName name="oatsni_q2" localSheetId="0">#REF!</definedName>
    <definedName name="oatsni_q2" localSheetId="5">#REF!</definedName>
    <definedName name="oatsni_q2" localSheetId="3">'Raw material usage  '!#REF!</definedName>
    <definedName name="oatsni_q2" localSheetId="4">'Raw materials sold direct '!#REF!</definedName>
    <definedName name="oatsni_q2">#REF!</definedName>
    <definedName name="oatsni_q3" localSheetId="1">#REF!</definedName>
    <definedName name="oatsni_q3" localSheetId="0">#REF!</definedName>
    <definedName name="oatsni_q3" localSheetId="5">#REF!</definedName>
    <definedName name="oatsni_q3" localSheetId="3">'Raw material usage  '!#REF!</definedName>
    <definedName name="oatsni_q3" localSheetId="4">'Raw materials sold direct '!#REF!</definedName>
    <definedName name="oatsni_q3">#REF!</definedName>
    <definedName name="oatsni_q4" localSheetId="1">#REF!</definedName>
    <definedName name="oatsni_q4" localSheetId="0">#REF!</definedName>
    <definedName name="oatsni_q4" localSheetId="5">#REF!</definedName>
    <definedName name="oatsni_q4" localSheetId="3">'Raw material usage  '!#REF!</definedName>
    <definedName name="oatsni_q4" localSheetId="4">'Raw materials sold direct '!#REF!</definedName>
    <definedName name="oatsni_q4">#REF!</definedName>
    <definedName name="oatsni_tot" localSheetId="1">#REF!</definedName>
    <definedName name="oatsni_tot" localSheetId="0">#REF!</definedName>
    <definedName name="oatsni_tot" localSheetId="5">#REF!</definedName>
    <definedName name="oatsni_tot" localSheetId="3">'Raw material usage  '!#REF!</definedName>
    <definedName name="oatsni_tot" localSheetId="4">'Raw materials sold direct '!#REF!</definedName>
    <definedName name="oatsni_tot">#REF!</definedName>
    <definedName name="oatsoth_q1" localSheetId="1">#REF!</definedName>
    <definedName name="oatsoth_q1" localSheetId="0">#REF!</definedName>
    <definedName name="oatsoth_q1" localSheetId="5">#REF!</definedName>
    <definedName name="oatsoth_q1" localSheetId="3">'Raw material usage  '!#REF!</definedName>
    <definedName name="oatsoth_q1" localSheetId="4">'Raw materials sold direct '!#REF!</definedName>
    <definedName name="oatsoth_q1">#REF!</definedName>
    <definedName name="oatsoth_q2" localSheetId="1">#REF!</definedName>
    <definedName name="oatsoth_q2" localSheetId="0">#REF!</definedName>
    <definedName name="oatsoth_q2" localSheetId="5">#REF!</definedName>
    <definedName name="oatsoth_q2" localSheetId="3">'Raw material usage  '!#REF!</definedName>
    <definedName name="oatsoth_q2" localSheetId="4">'Raw materials sold direct '!#REF!</definedName>
    <definedName name="oatsoth_q2">#REF!</definedName>
    <definedName name="oatsoth_q3" localSheetId="1">#REF!</definedName>
    <definedName name="oatsoth_q3" localSheetId="0">#REF!</definedName>
    <definedName name="oatsoth_q3" localSheetId="5">#REF!</definedName>
    <definedName name="oatsoth_q3" localSheetId="3">'Raw material usage  '!#REF!</definedName>
    <definedName name="oatsoth_q3" localSheetId="4">'Raw materials sold direct '!#REF!</definedName>
    <definedName name="oatsoth_q3">#REF!</definedName>
    <definedName name="oatsoth_q4" localSheetId="1">#REF!</definedName>
    <definedName name="oatsoth_q4" localSheetId="0">#REF!</definedName>
    <definedName name="oatsoth_q4" localSheetId="5">#REF!</definedName>
    <definedName name="oatsoth_q4" localSheetId="3">'Raw material usage  '!#REF!</definedName>
    <definedName name="oatsoth_q4" localSheetId="4">'Raw materials sold direct '!#REF!</definedName>
    <definedName name="oatsoth_q4">#REF!</definedName>
    <definedName name="oatsoth_tot" localSheetId="1">#REF!</definedName>
    <definedName name="oatsoth_tot" localSheetId="0">#REF!</definedName>
    <definedName name="oatsoth_tot" localSheetId="5">#REF!</definedName>
    <definedName name="oatsoth_tot" localSheetId="3">'Raw material usage  '!#REF!</definedName>
    <definedName name="oatsoth_tot" localSheetId="4">'Raw materials sold direct '!#REF!</definedName>
    <definedName name="oatsoth_tot">#REF!</definedName>
    <definedName name="oilfat_q1" localSheetId="1">#REF!</definedName>
    <definedName name="oilfat_q1" localSheetId="0">#REF!</definedName>
    <definedName name="oilfat_q1" localSheetId="5">#REF!</definedName>
    <definedName name="oilfat_q1" localSheetId="3">'Raw material usage  '!#REF!</definedName>
    <definedName name="oilfat_q1" localSheetId="4">'Raw materials sold direct '!#REF!</definedName>
    <definedName name="oilfat_q1">#REF!</definedName>
    <definedName name="oilfat_q2" localSheetId="1">#REF!</definedName>
    <definedName name="oilfat_q2" localSheetId="0">#REF!</definedName>
    <definedName name="oilfat_q2" localSheetId="5">#REF!</definedName>
    <definedName name="oilfat_q2" localSheetId="3">'Raw material usage  '!#REF!</definedName>
    <definedName name="oilfat_q2" localSheetId="4">'Raw materials sold direct '!#REF!</definedName>
    <definedName name="oilfat_q2">#REF!</definedName>
    <definedName name="oilfat_q3" localSheetId="1">#REF!</definedName>
    <definedName name="oilfat_q3" localSheetId="0">#REF!</definedName>
    <definedName name="oilfat_q3" localSheetId="5">#REF!</definedName>
    <definedName name="oilfat_q3" localSheetId="3">'Raw material usage  '!#REF!</definedName>
    <definedName name="oilfat_q3" localSheetId="4">'Raw materials sold direct '!#REF!</definedName>
    <definedName name="oilfat_q3">#REF!</definedName>
    <definedName name="oilfat_q4" localSheetId="1">#REF!</definedName>
    <definedName name="oilfat_q4" localSheetId="0">#REF!</definedName>
    <definedName name="oilfat_q4" localSheetId="5">#REF!</definedName>
    <definedName name="oilfat_q4" localSheetId="3">'Raw material usage  '!#REF!</definedName>
    <definedName name="oilfat_q4" localSheetId="4">'Raw materials sold direct '!#REF!</definedName>
    <definedName name="oilfat_q4">#REF!</definedName>
    <definedName name="oilfat_tot" localSheetId="1">#REF!</definedName>
    <definedName name="oilfat_tot" localSheetId="0">#REF!</definedName>
    <definedName name="oilfat_tot" localSheetId="5">#REF!</definedName>
    <definedName name="oilfat_tot" localSheetId="3">'Raw material usage  '!#REF!</definedName>
    <definedName name="oilfat_tot" localSheetId="4">'Raw materials sold direct '!#REF!</definedName>
    <definedName name="oilfat_tot">#REF!</definedName>
    <definedName name="othan_q1" localSheetId="1">#REF!</definedName>
    <definedName name="othan_q1" localSheetId="0">#REF!</definedName>
    <definedName name="othan_q1" localSheetId="5">#REF!</definedName>
    <definedName name="othan_q1" localSheetId="3">'Raw material usage  '!#REF!</definedName>
    <definedName name="othan_q1" localSheetId="4">'Raw materials sold direct '!#REF!</definedName>
    <definedName name="othan_q1">#REF!</definedName>
    <definedName name="othan_q2" localSheetId="1">#REF!</definedName>
    <definedName name="othan_q2" localSheetId="0">#REF!</definedName>
    <definedName name="othan_q2" localSheetId="5">#REF!</definedName>
    <definedName name="othan_q2" localSheetId="3">'Raw material usage  '!#REF!</definedName>
    <definedName name="othan_q2" localSheetId="4">'Raw materials sold direct '!#REF!</definedName>
    <definedName name="othan_q2">#REF!</definedName>
    <definedName name="othan_q3" localSheetId="1">#REF!</definedName>
    <definedName name="othan_q3" localSheetId="0">#REF!</definedName>
    <definedName name="othan_q3" localSheetId="5">#REF!</definedName>
    <definedName name="othan_q3" localSheetId="3">'Raw material usage  '!#REF!</definedName>
    <definedName name="othan_q3" localSheetId="4">'Raw materials sold direct '!#REF!</definedName>
    <definedName name="othan_q3">#REF!</definedName>
    <definedName name="othan_q4" localSheetId="1">#REF!</definedName>
    <definedName name="othan_q4" localSheetId="0">#REF!</definedName>
    <definedName name="othan_q4" localSheetId="5">#REF!</definedName>
    <definedName name="othan_q4" localSheetId="3">'Raw material usage  '!#REF!</definedName>
    <definedName name="othan_q4" localSheetId="4">'Raw materials sold direct '!#REF!</definedName>
    <definedName name="othan_q4">#REF!</definedName>
    <definedName name="othan_tot" localSheetId="1">#REF!</definedName>
    <definedName name="othan_tot" localSheetId="0">#REF!</definedName>
    <definedName name="othan_tot" localSheetId="5">#REF!</definedName>
    <definedName name="othan_tot" localSheetId="3">'Raw material usage  '!#REF!</definedName>
    <definedName name="othan_tot" localSheetId="4">'Raw materials sold direct '!#REF!</definedName>
    <definedName name="othan_tot">#REF!</definedName>
    <definedName name="othgr_q1" localSheetId="1">#REF!</definedName>
    <definedName name="othgr_q1" localSheetId="0">#REF!</definedName>
    <definedName name="othgr_q1" localSheetId="5">#REF!</definedName>
    <definedName name="othgr_q1" localSheetId="3">'Raw material usage  '!#REF!</definedName>
    <definedName name="othgr_q1" localSheetId="4">'Raw materials sold direct '!#REF!</definedName>
    <definedName name="othgr_q1">#REF!</definedName>
    <definedName name="othgr_q2" localSheetId="1">#REF!</definedName>
    <definedName name="othgr_q2" localSheetId="0">#REF!</definedName>
    <definedName name="othgr_q2" localSheetId="5">#REF!</definedName>
    <definedName name="othgr_q2" localSheetId="3">'Raw material usage  '!#REF!</definedName>
    <definedName name="othgr_q2" localSheetId="4">'Raw materials sold direct '!#REF!</definedName>
    <definedName name="othgr_q2">#REF!</definedName>
    <definedName name="othgr_q3" localSheetId="1">#REF!</definedName>
    <definedName name="othgr_q3" localSheetId="0">#REF!</definedName>
    <definedName name="othgr_q3" localSheetId="5">#REF!</definedName>
    <definedName name="othgr_q3" localSheetId="3">'Raw material usage  '!#REF!</definedName>
    <definedName name="othgr_q3" localSheetId="4">'Raw materials sold direct '!#REF!</definedName>
    <definedName name="othgr_q3">#REF!</definedName>
    <definedName name="othgr_q4" localSheetId="1">#REF!</definedName>
    <definedName name="othgr_q4" localSheetId="0">#REF!</definedName>
    <definedName name="othgr_q4" localSheetId="5">#REF!</definedName>
    <definedName name="othgr_q4" localSheetId="3">'Raw material usage  '!#REF!</definedName>
    <definedName name="othgr_q4" localSheetId="4">'Raw materials sold direct '!#REF!</definedName>
    <definedName name="othgr_q4">#REF!</definedName>
    <definedName name="othgr_tot" localSheetId="1">#REF!</definedName>
    <definedName name="othgr_tot" localSheetId="0">#REF!</definedName>
    <definedName name="othgr_tot" localSheetId="5">#REF!</definedName>
    <definedName name="othgr_tot" localSheetId="3">'Raw material usage  '!#REF!</definedName>
    <definedName name="othgr_tot" localSheetId="4">'Raw materials sold direct '!#REF!</definedName>
    <definedName name="othgr_tot">#REF!</definedName>
    <definedName name="othmat_q1" localSheetId="1">#REF!</definedName>
    <definedName name="othmat_q1" localSheetId="0">#REF!</definedName>
    <definedName name="othmat_q1" localSheetId="5">#REF!</definedName>
    <definedName name="othmat_q1" localSheetId="3">'Raw material usage  '!$C$30</definedName>
    <definedName name="othmat_q1" localSheetId="4">'Raw materials sold direct '!$C$31</definedName>
    <definedName name="othmat_q1">#REF!</definedName>
    <definedName name="othmat_q2" localSheetId="1">#REF!</definedName>
    <definedName name="othmat_q2" localSheetId="0">#REF!</definedName>
    <definedName name="othmat_q2" localSheetId="5">#REF!</definedName>
    <definedName name="othmat_q2" localSheetId="3">'Raw material usage  '!$D$30</definedName>
    <definedName name="othmat_q2" localSheetId="4">'Raw materials sold direct '!$D$31</definedName>
    <definedName name="othmat_q2">#REF!</definedName>
    <definedName name="othmat_q3" localSheetId="1">#REF!</definedName>
    <definedName name="othmat_q3" localSheetId="0">#REF!</definedName>
    <definedName name="othmat_q3" localSheetId="5">#REF!</definedName>
    <definedName name="othmat_q3" localSheetId="3">'Raw material usage  '!$E$30</definedName>
    <definedName name="othmat_q3" localSheetId="4">'Raw materials sold direct '!$E$31</definedName>
    <definedName name="othmat_q3">#REF!</definedName>
    <definedName name="othmat_q4" localSheetId="1">#REF!</definedName>
    <definedName name="othmat_q4" localSheetId="0">#REF!</definedName>
    <definedName name="othmat_q4" localSheetId="5">#REF!</definedName>
    <definedName name="othmat_q4" localSheetId="3">'Raw material usage  '!$F$30</definedName>
    <definedName name="othmat_q4" localSheetId="4">'Raw materials sold direct '!$F$31</definedName>
    <definedName name="othmat_q4">#REF!</definedName>
    <definedName name="othmat_tot" localSheetId="1">#REF!</definedName>
    <definedName name="othmat_tot" localSheetId="0">#REF!</definedName>
    <definedName name="othmat_tot" localSheetId="5">#REF!</definedName>
    <definedName name="othmat_tot" localSheetId="3">'Raw material usage  '!$G$30</definedName>
    <definedName name="othmat_tot" localSheetId="4">'Raw materials sold direct '!$G$31</definedName>
    <definedName name="othmat_tot">#REF!</definedName>
    <definedName name="othoils_q1" localSheetId="1">#REF!</definedName>
    <definedName name="othoils_q1" localSheetId="0">#REF!</definedName>
    <definedName name="othoils_q1" localSheetId="5">#REF!</definedName>
    <definedName name="othoils_q1" localSheetId="3">'Raw material usage  '!$C$18</definedName>
    <definedName name="othoils_q1" localSheetId="4">'Raw materials sold direct '!$C$20</definedName>
    <definedName name="othoils_q1">#REF!</definedName>
    <definedName name="othoils_q2" localSheetId="1">#REF!</definedName>
    <definedName name="othoils_q2" localSheetId="0">#REF!</definedName>
    <definedName name="othoils_q2" localSheetId="5">#REF!</definedName>
    <definedName name="othoils_q2" localSheetId="3">'Raw material usage  '!$D$18</definedName>
    <definedName name="othoils_q2" localSheetId="4">'Raw materials sold direct '!$D$20</definedName>
    <definedName name="othoils_q2">#REF!</definedName>
    <definedName name="othoils_q3" localSheetId="1">#REF!</definedName>
    <definedName name="othoils_q3" localSheetId="0">#REF!</definedName>
    <definedName name="othoils_q3" localSheetId="5">#REF!</definedName>
    <definedName name="othoils_q3" localSheetId="3">'Raw material usage  '!$E$18</definedName>
    <definedName name="othoils_q3" localSheetId="4">'Raw materials sold direct '!$E$20</definedName>
    <definedName name="othoils_q3">#REF!</definedName>
    <definedName name="othoils_q4" localSheetId="1">#REF!</definedName>
    <definedName name="othoils_q4" localSheetId="0">#REF!</definedName>
    <definedName name="othoils_q4" localSheetId="5">#REF!</definedName>
    <definedName name="othoils_q4" localSheetId="3">'Raw material usage  '!$F$18</definedName>
    <definedName name="othoils_q4" localSheetId="4">'Raw materials sold direct '!$F$20</definedName>
    <definedName name="othoils_q4">#REF!</definedName>
    <definedName name="othoils_tot" localSheetId="1">#REF!</definedName>
    <definedName name="othoils_tot" localSheetId="0">#REF!</definedName>
    <definedName name="othoils_tot" localSheetId="5">#REF!</definedName>
    <definedName name="othoils_tot" localSheetId="3">'Raw material usage  '!$G$18</definedName>
    <definedName name="othoils_tot" localSheetId="4">'Raw materials sold direct '!$G$20</definedName>
    <definedName name="othoils_tot">#REF!</definedName>
    <definedName name="_xlnm.Print_Area" localSheetId="2">'Deliveries outside NI  '!$A$1:$T$43</definedName>
    <definedName name="_xlnm.Print_Area" localSheetId="5">Graphs!$A$1:$AC$45</definedName>
    <definedName name="prot_q1" localSheetId="1">#REF!</definedName>
    <definedName name="prot_q1" localSheetId="0">#REF!</definedName>
    <definedName name="prot_q1" localSheetId="3">'Raw material usage  '!#REF!</definedName>
    <definedName name="prot_q1" localSheetId="4">'Raw materials sold direct '!#REF!</definedName>
    <definedName name="prot_q1">#REF!</definedName>
    <definedName name="prot_q2" localSheetId="1">#REF!</definedName>
    <definedName name="prot_q2" localSheetId="0">#REF!</definedName>
    <definedName name="prot_q2" localSheetId="5">#REF!</definedName>
    <definedName name="prot_q2" localSheetId="3">'Raw material usage  '!#REF!</definedName>
    <definedName name="prot_q2" localSheetId="4">'Raw materials sold direct '!#REF!</definedName>
    <definedName name="prot_q2">#REF!</definedName>
    <definedName name="prot_q3" localSheetId="1">#REF!</definedName>
    <definedName name="prot_q3" localSheetId="0">#REF!</definedName>
    <definedName name="prot_q3" localSheetId="5">#REF!</definedName>
    <definedName name="prot_q3" localSheetId="3">'Raw material usage  '!#REF!</definedName>
    <definedName name="prot_q3" localSheetId="4">'Raw materials sold direct '!#REF!</definedName>
    <definedName name="prot_q3">#REF!</definedName>
    <definedName name="prot_q4" localSheetId="1">#REF!</definedName>
    <definedName name="prot_q4" localSheetId="0">#REF!</definedName>
    <definedName name="prot_q4" localSheetId="5">#REF!</definedName>
    <definedName name="prot_q4" localSheetId="3">'Raw material usage  '!#REF!</definedName>
    <definedName name="prot_q4" localSheetId="4">'Raw materials sold direct '!#REF!</definedName>
    <definedName name="prot_q4">#REF!</definedName>
    <definedName name="prot_tot" localSheetId="1">#REF!</definedName>
    <definedName name="prot_tot" localSheetId="0">#REF!</definedName>
    <definedName name="prot_tot" localSheetId="5">#REF!</definedName>
    <definedName name="prot_tot" localSheetId="3">'Raw material usage  '!#REF!</definedName>
    <definedName name="prot_tot" localSheetId="4">'Raw materials sold direct '!#REF!</definedName>
    <definedName name="prot_tot">#REF!</definedName>
    <definedName name="QTR1A" localSheetId="1">#REF!</definedName>
    <definedName name="QTR1A" localSheetId="0">#REF!</definedName>
    <definedName name="QTR1A" localSheetId="5">#REF!</definedName>
    <definedName name="QTR1A" localSheetId="3">'Raw material usage  '!$C$10:$C$30</definedName>
    <definedName name="QTR1A" localSheetId="4">'Raw materials sold direct '!$C$12:$C$31</definedName>
    <definedName name="QTR1A">#REF!</definedName>
    <definedName name="QTR1B" localSheetId="1">#REF!</definedName>
    <definedName name="QTR1B" localSheetId="0">#REF!</definedName>
    <definedName name="QTR1B" localSheetId="5">#REF!</definedName>
    <definedName name="QTR1B" localSheetId="3">'Raw material usage  '!#REF!</definedName>
    <definedName name="QTR1B" localSheetId="4">'Raw materials sold direct '!#REF!</definedName>
    <definedName name="QTR1B">#REF!</definedName>
    <definedName name="QTR2A" localSheetId="1">#REF!</definedName>
    <definedName name="QTR2A" localSheetId="0">#REF!</definedName>
    <definedName name="QTR2A" localSheetId="5">#REF!</definedName>
    <definedName name="QTR2A" localSheetId="3">'Raw material usage  '!$D$10:$D$30</definedName>
    <definedName name="QTR2A" localSheetId="4">'Raw materials sold direct '!$D$12:$D$31</definedName>
    <definedName name="QTR2A">#REF!</definedName>
    <definedName name="QTR2B" localSheetId="1">#REF!</definedName>
    <definedName name="QTR2B" localSheetId="0">#REF!</definedName>
    <definedName name="QTR2B" localSheetId="5">#REF!</definedName>
    <definedName name="QTR2B" localSheetId="3">'Raw material usage  '!#REF!</definedName>
    <definedName name="QTR2B" localSheetId="4">'Raw materials sold direct '!#REF!</definedName>
    <definedName name="QTR2B">#REF!</definedName>
    <definedName name="QTR3A" localSheetId="1">#REF!</definedName>
    <definedName name="QTR3A" localSheetId="0">#REF!</definedName>
    <definedName name="QTR3A" localSheetId="5">#REF!</definedName>
    <definedName name="QTR3A" localSheetId="3">'Raw material usage  '!$E$10:$E$30</definedName>
    <definedName name="QTR3A" localSheetId="4">'Raw materials sold direct '!$E$12:$E$31</definedName>
    <definedName name="QTR3A">#REF!</definedName>
    <definedName name="QTR3B" localSheetId="1">#REF!</definedName>
    <definedName name="QTR3B" localSheetId="0">#REF!</definedName>
    <definedName name="QTR3B" localSheetId="5">#REF!</definedName>
    <definedName name="QTR3B" localSheetId="3">'Raw material usage  '!#REF!</definedName>
    <definedName name="QTR3B" localSheetId="4">'Raw materials sold direct '!#REF!</definedName>
    <definedName name="QTR3B">#REF!</definedName>
    <definedName name="QTR4A" localSheetId="1">#REF!</definedName>
    <definedName name="QTR4A" localSheetId="0">#REF!</definedName>
    <definedName name="QTR4A" localSheetId="5">#REF!</definedName>
    <definedName name="QTR4A" localSheetId="3">'Raw material usage  '!$F$10:$F$30</definedName>
    <definedName name="QTR4A" localSheetId="4">'Raw materials sold direct '!$F$12:$F$31</definedName>
    <definedName name="QTR4A">#REF!</definedName>
    <definedName name="QTR4B" localSheetId="1">#REF!</definedName>
    <definedName name="QTR4B" localSheetId="0">#REF!</definedName>
    <definedName name="QTR4B" localSheetId="5">#REF!</definedName>
    <definedName name="QTR4B" localSheetId="3">'Raw material usage  '!#REF!</definedName>
    <definedName name="QTR4B" localSheetId="4">'Raw materials sold direct '!#REF!</definedName>
    <definedName name="QTR4B">#REF!</definedName>
    <definedName name="rapecake_q1" localSheetId="1">#REF!</definedName>
    <definedName name="rapecake_q1" localSheetId="0">#REF!</definedName>
    <definedName name="rapecake_q1" localSheetId="5">#REF!</definedName>
    <definedName name="rapecake_q1" localSheetId="3">'Raw material usage  '!$C$16</definedName>
    <definedName name="rapecake_q1" localSheetId="4">'Raw materials sold direct '!#REF!</definedName>
    <definedName name="rapecake_q1">#REF!</definedName>
    <definedName name="rapecake_q2" localSheetId="1">#REF!</definedName>
    <definedName name="rapecake_q2" localSheetId="0">#REF!</definedName>
    <definedName name="rapecake_q2" localSheetId="5">#REF!</definedName>
    <definedName name="rapecake_q2" localSheetId="3">'Raw material usage  '!$D$16</definedName>
    <definedName name="rapecake_q2" localSheetId="4">'Raw materials sold direct '!#REF!</definedName>
    <definedName name="rapecake_q2">#REF!</definedName>
    <definedName name="rapecake_q3" localSheetId="1">#REF!</definedName>
    <definedName name="rapecake_q3" localSheetId="0">#REF!</definedName>
    <definedName name="rapecake_q3" localSheetId="5">#REF!</definedName>
    <definedName name="rapecake_q3" localSheetId="3">'Raw material usage  '!$E$16</definedName>
    <definedName name="rapecake_q3" localSheetId="4">'Raw materials sold direct '!#REF!</definedName>
    <definedName name="rapecake_q3">#REF!</definedName>
    <definedName name="rapecake_q4" localSheetId="1">#REF!</definedName>
    <definedName name="rapecake_q4" localSheetId="0">#REF!</definedName>
    <definedName name="rapecake_q4" localSheetId="5">#REF!</definedName>
    <definedName name="rapecake_q4" localSheetId="3">'Raw material usage  '!$F$16</definedName>
    <definedName name="rapecake_q4" localSheetId="4">'Raw materials sold direct '!#REF!</definedName>
    <definedName name="rapecake_q4">#REF!</definedName>
    <definedName name="rapecake_tot" localSheetId="1">#REF!</definedName>
    <definedName name="rapecake_tot" localSheetId="0">#REF!</definedName>
    <definedName name="rapecake_tot" localSheetId="5">#REF!</definedName>
    <definedName name="rapecake_tot" localSheetId="3">'Raw material usage  '!$G$16</definedName>
    <definedName name="rapecake_tot" localSheetId="4">'Raw materials sold direct '!#REF!</definedName>
    <definedName name="rapecake_tot">#REF!</definedName>
    <definedName name="root_q1" localSheetId="1">#REF!</definedName>
    <definedName name="root_q1" localSheetId="0">#REF!</definedName>
    <definedName name="root_q1" localSheetId="5">#REF!</definedName>
    <definedName name="root_q1" localSheetId="3">'Raw material usage  '!$C$22</definedName>
    <definedName name="root_q1" localSheetId="4">'Raw materials sold direct '!$C$23</definedName>
    <definedName name="root_q1">#REF!</definedName>
    <definedName name="root_q2" localSheetId="1">#REF!</definedName>
    <definedName name="root_q2" localSheetId="0">#REF!</definedName>
    <definedName name="root_q2" localSheetId="5">#REF!</definedName>
    <definedName name="root_q2" localSheetId="3">'Raw material usage  '!$D$22</definedName>
    <definedName name="root_q2" localSheetId="4">'Raw materials sold direct '!$D$23</definedName>
    <definedName name="root_q2">#REF!</definedName>
    <definedName name="root_q3" localSheetId="1">#REF!</definedName>
    <definedName name="root_q3" localSheetId="0">#REF!</definedName>
    <definedName name="root_q3" localSheetId="5">#REF!</definedName>
    <definedName name="root_q3" localSheetId="3">'Raw material usage  '!$E$22</definedName>
    <definedName name="root_q3" localSheetId="4">'Raw materials sold direct '!$E$23</definedName>
    <definedName name="root_q3">#REF!</definedName>
    <definedName name="root_q4" localSheetId="1">#REF!</definedName>
    <definedName name="root_q4" localSheetId="0">#REF!</definedName>
    <definedName name="root_q4" localSheetId="5">#REF!</definedName>
    <definedName name="root_q4" localSheetId="3">'Raw material usage  '!$F$22</definedName>
    <definedName name="root_q4" localSheetId="4">'Raw materials sold direct '!$F$23</definedName>
    <definedName name="root_q4">#REF!</definedName>
    <definedName name="root_tot" localSheetId="1">#REF!</definedName>
    <definedName name="root_tot" localSheetId="0">#REF!</definedName>
    <definedName name="root_tot" localSheetId="5">#REF!</definedName>
    <definedName name="root_tot" localSheetId="3">'Raw material usage  '!$G$22</definedName>
    <definedName name="root_tot" localSheetId="4">'Raw materials sold direct '!$G$23</definedName>
    <definedName name="root_tot">#REF!</definedName>
    <definedName name="soyacake_q1" localSheetId="1">#REF!</definedName>
    <definedName name="soyacake_q1" localSheetId="0">#REF!</definedName>
    <definedName name="soyacake_q1" localSheetId="5">#REF!</definedName>
    <definedName name="soyacake_q1" localSheetId="3">'Raw material usage  '!$C$17</definedName>
    <definedName name="soyacake_q1" localSheetId="4">'Raw materials sold direct '!$C$19</definedName>
    <definedName name="soyacake_q1">#REF!</definedName>
    <definedName name="soyacake_q2" localSheetId="1">#REF!</definedName>
    <definedName name="soyacake_q2" localSheetId="0">#REF!</definedName>
    <definedName name="soyacake_q2" localSheetId="5">#REF!</definedName>
    <definedName name="soyacake_q2" localSheetId="3">'Raw material usage  '!$D$17</definedName>
    <definedName name="soyacake_q2" localSheetId="4">'Raw materials sold direct '!$D$19</definedName>
    <definedName name="soyacake_q2">#REF!</definedName>
    <definedName name="soyacake_q3" localSheetId="1">#REF!</definedName>
    <definedName name="soyacake_q3" localSheetId="0">#REF!</definedName>
    <definedName name="soyacake_q3" localSheetId="5">#REF!</definedName>
    <definedName name="soyacake_q3" localSheetId="3">'Raw material usage  '!$E$17</definedName>
    <definedName name="soyacake_q3" localSheetId="4">'Raw materials sold direct '!$E$19</definedName>
    <definedName name="soyacake_q3">#REF!</definedName>
    <definedName name="soyacake_q4" localSheetId="1">#REF!</definedName>
    <definedName name="soyacake_q4" localSheetId="0">#REF!</definedName>
    <definedName name="soyacake_q4" localSheetId="5">#REF!</definedName>
    <definedName name="soyacake_q4" localSheetId="3">'Raw material usage  '!$F$17</definedName>
    <definedName name="soyacake_q4" localSheetId="4">'Raw materials sold direct '!$F$19</definedName>
    <definedName name="soyacake_q4">#REF!</definedName>
    <definedName name="soyacake_tot" localSheetId="1">#REF!</definedName>
    <definedName name="soyacake_tot" localSheetId="0">#REF!</definedName>
    <definedName name="soyacake_tot" localSheetId="5">#REF!</definedName>
    <definedName name="soyacake_tot" localSheetId="3">'Raw material usage  '!$G$17</definedName>
    <definedName name="soyacake_tot" localSheetId="4">'Raw materials sold direct '!$G$19</definedName>
    <definedName name="soyacake_tot">#REF!</definedName>
    <definedName name="sugbeet_q1" localSheetId="1">#REF!</definedName>
    <definedName name="sugbeet_q1" localSheetId="0">#REF!</definedName>
    <definedName name="sugbeet_q1" localSheetId="5">#REF!</definedName>
    <definedName name="sugbeet_q1" localSheetId="3">'Raw material usage  '!#REF!</definedName>
    <definedName name="sugbeet_q1" localSheetId="4">'Raw materials sold direct '!#REF!</definedName>
    <definedName name="sugbeet_q1">#REF!</definedName>
    <definedName name="sugbeet_q2" localSheetId="1">#REF!</definedName>
    <definedName name="sugbeet_q2" localSheetId="0">#REF!</definedName>
    <definedName name="sugbeet_q2" localSheetId="5">#REF!</definedName>
    <definedName name="sugbeet_q2" localSheetId="3">'Raw material usage  '!#REF!</definedName>
    <definedName name="sugbeet_q2" localSheetId="4">'Raw materials sold direct '!#REF!</definedName>
    <definedName name="sugbeet_q2">#REF!</definedName>
    <definedName name="sugbeet_q3" localSheetId="1">#REF!</definedName>
    <definedName name="sugbeet_q3" localSheetId="0">#REF!</definedName>
    <definedName name="sugbeet_q3" localSheetId="5">#REF!</definedName>
    <definedName name="sugbeet_q3" localSheetId="3">'Raw material usage  '!#REF!</definedName>
    <definedName name="sugbeet_q3" localSheetId="4">'Raw materials sold direct '!#REF!</definedName>
    <definedName name="sugbeet_q3">#REF!</definedName>
    <definedName name="sugbeet_q4" localSheetId="1">#REF!</definedName>
    <definedName name="sugbeet_q4" localSheetId="0">#REF!</definedName>
    <definedName name="sugbeet_q4" localSheetId="5">#REF!</definedName>
    <definedName name="sugbeet_q4" localSheetId="3">'Raw material usage  '!#REF!</definedName>
    <definedName name="sugbeet_q4" localSheetId="4">'Raw materials sold direct '!#REF!</definedName>
    <definedName name="sugbeet_q4">#REF!</definedName>
    <definedName name="sugbeet_tot" localSheetId="1">#REF!</definedName>
    <definedName name="sugbeet_tot" localSheetId="0">#REF!</definedName>
    <definedName name="sugbeet_tot" localSheetId="5">#REF!</definedName>
    <definedName name="sugbeet_tot" localSheetId="3">'Raw material usage  '!#REF!</definedName>
    <definedName name="sugbeet_tot" localSheetId="4">'Raw materials sold direct '!#REF!</definedName>
    <definedName name="sugbeet_tot">#REF!</definedName>
    <definedName name="tot_q1" localSheetId="1">#REF!</definedName>
    <definedName name="tot_q1" localSheetId="0">#REF!</definedName>
    <definedName name="tot_q1" localSheetId="5">#REF!</definedName>
    <definedName name="tot_q1" localSheetId="3">'Raw material usage  '!$C$31</definedName>
    <definedName name="tot_q1" localSheetId="4">'Raw materials sold direct '!$C$32</definedName>
    <definedName name="tot_q1">#REF!</definedName>
    <definedName name="tot_q2" localSheetId="1">#REF!</definedName>
    <definedName name="tot_q2" localSheetId="0">#REF!</definedName>
    <definedName name="tot_q2" localSheetId="5">#REF!</definedName>
    <definedName name="tot_q2" localSheetId="3">'Raw material usage  '!$D$31</definedName>
    <definedName name="tot_q2" localSheetId="4">'Raw materials sold direct '!$D$32</definedName>
    <definedName name="tot_q2">#REF!</definedName>
    <definedName name="tot_q3" localSheetId="1">#REF!</definedName>
    <definedName name="tot_q3" localSheetId="0">#REF!</definedName>
    <definedName name="tot_q3" localSheetId="5">#REF!</definedName>
    <definedName name="tot_q3" localSheetId="3">'Raw material usage  '!$E$31</definedName>
    <definedName name="tot_q3" localSheetId="4">'Raw materials sold direct '!$E$32</definedName>
    <definedName name="tot_q3">#REF!</definedName>
    <definedName name="tot_q4" localSheetId="1">#REF!</definedName>
    <definedName name="tot_q4" localSheetId="0">#REF!</definedName>
    <definedName name="tot_q4" localSheetId="5">#REF!</definedName>
    <definedName name="tot_q4" localSheetId="3">'Raw material usage  '!$F$31</definedName>
    <definedName name="tot_q4" localSheetId="4">'Raw materials sold direct '!$F$32</definedName>
    <definedName name="tot_q4">#REF!</definedName>
    <definedName name="total" localSheetId="1">#REF!</definedName>
    <definedName name="total" localSheetId="0">#REF!</definedName>
    <definedName name="total" localSheetId="5">#REF!</definedName>
    <definedName name="total" localSheetId="3">'Raw material usage  '!$G$31</definedName>
    <definedName name="total" localSheetId="4">'Raw materials sold direct '!$G$32</definedName>
    <definedName name="total">#REF!</definedName>
    <definedName name="wheatni_q1" localSheetId="1">#REF!</definedName>
    <definedName name="wheatni_q1" localSheetId="0">#REF!</definedName>
    <definedName name="wheatni_q1" localSheetId="5">#REF!</definedName>
    <definedName name="wheatni_q1" localSheetId="3">'Raw material usage  '!$C$10</definedName>
    <definedName name="wheatni_q1" localSheetId="4">'Raw materials sold direct '!$C$12</definedName>
    <definedName name="wheatni_q1">#REF!</definedName>
    <definedName name="wheatni_q2" localSheetId="1">#REF!</definedName>
    <definedName name="wheatni_q2" localSheetId="0">#REF!</definedName>
    <definedName name="wheatni_q2" localSheetId="5">#REF!</definedName>
    <definedName name="wheatni_q2" localSheetId="3">'Raw material usage  '!$D$10</definedName>
    <definedName name="wheatni_q2" localSheetId="4">'Raw materials sold direct '!$D$12</definedName>
    <definedName name="wheatni_q2">#REF!</definedName>
    <definedName name="wheatni_q3" localSheetId="1">#REF!</definedName>
    <definedName name="wheatni_q3" localSheetId="0">#REF!</definedName>
    <definedName name="wheatni_q3" localSheetId="5">#REF!</definedName>
    <definedName name="wheatni_q3" localSheetId="3">'Raw material usage  '!$E$10</definedName>
    <definedName name="wheatni_q3" localSheetId="4">'Raw materials sold direct '!$E$12</definedName>
    <definedName name="wheatni_q3">#REF!</definedName>
    <definedName name="wheatni_q4" localSheetId="1">#REF!</definedName>
    <definedName name="wheatni_q4" localSheetId="0">#REF!</definedName>
    <definedName name="wheatni_q4" localSheetId="5">#REF!</definedName>
    <definedName name="wheatni_q4" localSheetId="3">'Raw material usage  '!$F$10</definedName>
    <definedName name="wheatni_q4" localSheetId="4">'Raw materials sold direct '!$F$12</definedName>
    <definedName name="wheatni_q4">#REF!</definedName>
    <definedName name="wheatni_tot" localSheetId="1">#REF!</definedName>
    <definedName name="wheatni_tot" localSheetId="0">#REF!</definedName>
    <definedName name="wheatni_tot" localSheetId="5">#REF!</definedName>
    <definedName name="wheatni_tot" localSheetId="3">'Raw material usage  '!$G$10</definedName>
    <definedName name="wheatni_tot" localSheetId="4">'Raw materials sold direct '!$G$12</definedName>
    <definedName name="wheatni_tot">#REF!</definedName>
    <definedName name="wheatoth_q1" localSheetId="1">#REF!</definedName>
    <definedName name="wheatoth_q1" localSheetId="0">#REF!</definedName>
    <definedName name="wheatoth_q1" localSheetId="5">#REF!</definedName>
    <definedName name="wheatoth_q1" localSheetId="3">'Raw material usage  '!#REF!</definedName>
    <definedName name="wheatoth_q1" localSheetId="4">'Raw materials sold direct '!#REF!</definedName>
    <definedName name="wheatoth_q1">#REF!</definedName>
    <definedName name="wheatoth_q2" localSheetId="1">#REF!</definedName>
    <definedName name="wheatoth_q2" localSheetId="0">#REF!</definedName>
    <definedName name="wheatoth_q2" localSheetId="5">#REF!</definedName>
    <definedName name="wheatoth_q2" localSheetId="3">'Raw material usage  '!#REF!</definedName>
    <definedName name="wheatoth_q2" localSheetId="4">'Raw materials sold direct '!#REF!</definedName>
    <definedName name="wheatoth_q2">#REF!</definedName>
    <definedName name="wheatoth_q3" localSheetId="1">#REF!</definedName>
    <definedName name="wheatoth_q3" localSheetId="0">#REF!</definedName>
    <definedName name="wheatoth_q3" localSheetId="5">#REF!</definedName>
    <definedName name="wheatoth_q3" localSheetId="3">'Raw material usage  '!#REF!</definedName>
    <definedName name="wheatoth_q3" localSheetId="4">'Raw materials sold direct '!#REF!</definedName>
    <definedName name="wheatoth_q3">#REF!</definedName>
    <definedName name="wheatoth_q4" localSheetId="1">#REF!</definedName>
    <definedName name="wheatoth_q4" localSheetId="0">#REF!</definedName>
    <definedName name="wheatoth_q4" localSheetId="5">#REF!</definedName>
    <definedName name="wheatoth_q4" localSheetId="3">'Raw material usage  '!#REF!</definedName>
    <definedName name="wheatoth_q4" localSheetId="4">'Raw materials sold direct '!#REF!</definedName>
    <definedName name="wheatoth_q4">#REF!</definedName>
    <definedName name="wheatoth_tot" localSheetId="1">#REF!</definedName>
    <definedName name="wheatoth_tot" localSheetId="0">#REF!</definedName>
    <definedName name="wheatoth_tot" localSheetId="5">#REF!</definedName>
    <definedName name="wheatoth_tot" localSheetId="3">'Raw material usage  '!#REF!</definedName>
    <definedName name="wheatoth_tot" localSheetId="4">'Raw materials sold direct '!#REF!</definedName>
    <definedName name="wheatoth_tot">#REF!</definedName>
    <definedName name="wholoil_q1" localSheetId="1">#REF!</definedName>
    <definedName name="wholoil_q1" localSheetId="0">#REF!</definedName>
    <definedName name="wholoil_q1" localSheetId="5">#REF!</definedName>
    <definedName name="wholoil_q1" localSheetId="3">'Raw material usage  '!#REF!</definedName>
    <definedName name="wholoil_q1" localSheetId="4">'Raw materials sold direct '!#REF!</definedName>
    <definedName name="wholoil_q1">#REF!</definedName>
    <definedName name="wholoil_q2" localSheetId="1">#REF!</definedName>
    <definedName name="wholoil_q2" localSheetId="0">#REF!</definedName>
    <definedName name="wholoil_q2" localSheetId="5">#REF!</definedName>
    <definedName name="wholoil_q2" localSheetId="3">'Raw material usage  '!#REF!</definedName>
    <definedName name="wholoil_q2" localSheetId="4">'Raw materials sold direct '!#REF!</definedName>
    <definedName name="wholoil_q2">#REF!</definedName>
    <definedName name="wholoil_q3" localSheetId="1">#REF!</definedName>
    <definedName name="wholoil_q3" localSheetId="0">#REF!</definedName>
    <definedName name="wholoil_q3" localSheetId="5">#REF!</definedName>
    <definedName name="wholoil_q3" localSheetId="3">'Raw material usage  '!#REF!</definedName>
    <definedName name="wholoil_q3" localSheetId="4">'Raw materials sold direct '!#REF!</definedName>
    <definedName name="wholoil_q3">#REF!</definedName>
    <definedName name="wholoil_q4" localSheetId="1">#REF!</definedName>
    <definedName name="wholoil_q4" localSheetId="0">#REF!</definedName>
    <definedName name="wholoil_q4" localSheetId="5">#REF!</definedName>
    <definedName name="wholoil_q4" localSheetId="3">'Raw material usage  '!#REF!</definedName>
    <definedName name="wholoil_q4" localSheetId="4">'Raw materials sold direct '!#REF!</definedName>
    <definedName name="wholoil_q4">#REF!</definedName>
    <definedName name="wholoil_tot" localSheetId="1">#REF!</definedName>
    <definedName name="wholoil_tot" localSheetId="0">#REF!</definedName>
    <definedName name="wholoil_tot" localSheetId="5">#REF!</definedName>
    <definedName name="wholoil_tot" localSheetId="3">'Raw material usage  '!#REF!</definedName>
    <definedName name="wholoil_tot" localSheetId="4">'Raw materials sold direct '!#REF!</definedName>
    <definedName name="wholoil_to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1" i="9" l="1"/>
  <c r="F27" i="9"/>
  <c r="F17" i="9"/>
  <c r="F13" i="9"/>
  <c r="F12" i="9"/>
  <c r="F15" i="47" l="1"/>
  <c r="F30" i="47"/>
  <c r="F26" i="47"/>
  <c r="F18" i="47"/>
  <c r="F11" i="47"/>
  <c r="F10" i="47"/>
  <c r="N18" i="46"/>
  <c r="L42" i="62"/>
  <c r="L41" i="62" l="1"/>
  <c r="L40" i="62"/>
  <c r="M29" i="62" l="1"/>
  <c r="M22" i="62"/>
  <c r="E13" i="9" l="1"/>
  <c r="E12" i="9"/>
  <c r="E30" i="47"/>
  <c r="E26" i="47"/>
  <c r="E11" i="47"/>
  <c r="E10" i="47"/>
  <c r="L18" i="46"/>
  <c r="L33" i="62"/>
  <c r="L31" i="62"/>
  <c r="E31" i="9" l="1"/>
  <c r="E22" i="9"/>
  <c r="E17" i="9"/>
  <c r="E15" i="47"/>
  <c r="E21" i="47"/>
  <c r="E18" i="47"/>
  <c r="D15" i="47"/>
  <c r="K18" i="46"/>
  <c r="I42" i="62"/>
  <c r="J42" i="62"/>
  <c r="K42" i="62"/>
  <c r="K41" i="62"/>
  <c r="K40" i="62"/>
  <c r="K33" i="62"/>
  <c r="K31" i="62"/>
  <c r="J18" i="46" l="1"/>
  <c r="J31" i="47" l="1"/>
  <c r="J41" i="62" l="1"/>
  <c r="J40" i="62"/>
  <c r="J33" i="62"/>
  <c r="J31" i="62"/>
  <c r="D30" i="47" l="1"/>
  <c r="D26" i="47"/>
  <c r="D18" i="47"/>
  <c r="D11" i="47"/>
  <c r="D10" i="47"/>
  <c r="D17" i="9"/>
  <c r="D13" i="9"/>
  <c r="D12" i="9"/>
  <c r="I18" i="46"/>
  <c r="I41" i="62"/>
  <c r="I40" i="62"/>
  <c r="I33" i="62"/>
  <c r="I31" i="62"/>
  <c r="R42" i="63" l="1"/>
  <c r="N42" i="63"/>
  <c r="M42" i="63"/>
  <c r="L42" i="63"/>
  <c r="K42" i="63"/>
  <c r="J42" i="63"/>
  <c r="I42" i="63"/>
  <c r="Q42" i="63" s="1"/>
  <c r="H42" i="63"/>
  <c r="G42" i="63"/>
  <c r="F42" i="63"/>
  <c r="E42" i="63"/>
  <c r="D42" i="63"/>
  <c r="C42" i="63"/>
  <c r="O42" i="63" s="1"/>
  <c r="N41" i="63"/>
  <c r="M41" i="63"/>
  <c r="L41" i="63"/>
  <c r="R41" i="63" s="1"/>
  <c r="K41" i="63"/>
  <c r="J41" i="63"/>
  <c r="I41" i="63"/>
  <c r="Q41" i="63" s="1"/>
  <c r="H41" i="63"/>
  <c r="G41" i="63"/>
  <c r="F41" i="63"/>
  <c r="E41" i="63"/>
  <c r="D41" i="63"/>
  <c r="C41" i="63"/>
  <c r="N40" i="63"/>
  <c r="N43" i="63" s="1"/>
  <c r="M40" i="63"/>
  <c r="L40" i="63"/>
  <c r="L43" i="63" s="1"/>
  <c r="K40" i="63"/>
  <c r="K43" i="63" s="1"/>
  <c r="J40" i="63"/>
  <c r="J43" i="63" s="1"/>
  <c r="I40" i="63"/>
  <c r="H40" i="63"/>
  <c r="H43" i="63" s="1"/>
  <c r="G40" i="63"/>
  <c r="F40" i="63"/>
  <c r="E40" i="63"/>
  <c r="E43" i="63" s="1"/>
  <c r="D40" i="63"/>
  <c r="D43" i="63" s="1"/>
  <c r="C40" i="63"/>
  <c r="O40" i="63" s="1"/>
  <c r="N39" i="63"/>
  <c r="M39" i="63"/>
  <c r="L39" i="63"/>
  <c r="K39" i="63"/>
  <c r="J39" i="63"/>
  <c r="I39" i="63"/>
  <c r="H39" i="63"/>
  <c r="G39" i="63"/>
  <c r="F39" i="63"/>
  <c r="E39" i="63"/>
  <c r="D39" i="63"/>
  <c r="C39" i="63"/>
  <c r="R38" i="63"/>
  <c r="Q38" i="63"/>
  <c r="P38" i="63"/>
  <c r="O38" i="63"/>
  <c r="S38" i="63" s="1"/>
  <c r="R37" i="63"/>
  <c r="Q37" i="63"/>
  <c r="P37" i="63"/>
  <c r="S37" i="63" s="1"/>
  <c r="O37" i="63"/>
  <c r="R36" i="63"/>
  <c r="Q36" i="63"/>
  <c r="P36" i="63"/>
  <c r="O36" i="63"/>
  <c r="S36" i="63" s="1"/>
  <c r="R35" i="63"/>
  <c r="Q35" i="63"/>
  <c r="P35" i="63"/>
  <c r="O35" i="63"/>
  <c r="N33" i="63"/>
  <c r="R33" i="63" s="1"/>
  <c r="M33" i="63"/>
  <c r="L33" i="63"/>
  <c r="K33" i="63"/>
  <c r="J33" i="63"/>
  <c r="I33" i="63"/>
  <c r="H33" i="63"/>
  <c r="G33" i="63"/>
  <c r="G34" i="63" s="1"/>
  <c r="F33" i="63"/>
  <c r="E33" i="63"/>
  <c r="D33" i="63"/>
  <c r="C33" i="63"/>
  <c r="O33" i="63" s="1"/>
  <c r="R32" i="63"/>
  <c r="Q32" i="63"/>
  <c r="P32" i="63"/>
  <c r="O32" i="63"/>
  <c r="S32" i="63" s="1"/>
  <c r="N31" i="63"/>
  <c r="M31" i="63"/>
  <c r="M34" i="63" s="1"/>
  <c r="L31" i="63"/>
  <c r="K31" i="63"/>
  <c r="J31" i="63"/>
  <c r="I31" i="63"/>
  <c r="Q31" i="63" s="1"/>
  <c r="H31" i="63"/>
  <c r="G31" i="63"/>
  <c r="F31" i="63"/>
  <c r="E31" i="63"/>
  <c r="E34" i="63" s="1"/>
  <c r="D31" i="63"/>
  <c r="C31" i="63"/>
  <c r="O31" i="63" s="1"/>
  <c r="R30" i="63"/>
  <c r="Q30" i="63"/>
  <c r="P30" i="63"/>
  <c r="O30" i="63"/>
  <c r="N29" i="63"/>
  <c r="M29" i="63"/>
  <c r="L29" i="63"/>
  <c r="K29" i="63"/>
  <c r="J29" i="63"/>
  <c r="I29" i="63"/>
  <c r="H29" i="63"/>
  <c r="G29" i="63"/>
  <c r="F29" i="63"/>
  <c r="E29" i="63"/>
  <c r="D29" i="63"/>
  <c r="C29" i="63"/>
  <c r="R28" i="63"/>
  <c r="Q28" i="63"/>
  <c r="P28" i="63"/>
  <c r="O28" i="63"/>
  <c r="R27" i="63"/>
  <c r="Q27" i="63"/>
  <c r="P27" i="63"/>
  <c r="O27" i="63"/>
  <c r="R26" i="63"/>
  <c r="Q26" i="63"/>
  <c r="P26" i="63"/>
  <c r="O26" i="63"/>
  <c r="R25" i="63"/>
  <c r="Q25" i="63"/>
  <c r="P25" i="63"/>
  <c r="O25" i="63"/>
  <c r="R24" i="63"/>
  <c r="S24" i="63" s="1"/>
  <c r="Q24" i="63"/>
  <c r="P24" i="63"/>
  <c r="O24" i="63"/>
  <c r="R23" i="63"/>
  <c r="Q23" i="63"/>
  <c r="P23" i="63"/>
  <c r="P29" i="63" s="1"/>
  <c r="O23" i="63"/>
  <c r="S23" i="63" s="1"/>
  <c r="N22" i="63"/>
  <c r="M22" i="63"/>
  <c r="L22" i="63"/>
  <c r="K22" i="63"/>
  <c r="J22" i="63"/>
  <c r="I22" i="63"/>
  <c r="H22" i="63"/>
  <c r="G22" i="63"/>
  <c r="F22" i="63"/>
  <c r="E22" i="63"/>
  <c r="D22" i="63"/>
  <c r="C22" i="63"/>
  <c r="R21" i="63"/>
  <c r="Q21" i="63"/>
  <c r="P21" i="63"/>
  <c r="O21" i="63"/>
  <c r="S21" i="63" s="1"/>
  <c r="S20" i="63"/>
  <c r="R20" i="63"/>
  <c r="Q20" i="63"/>
  <c r="P20" i="63"/>
  <c r="O20" i="63"/>
  <c r="R19" i="63"/>
  <c r="Q19" i="63"/>
  <c r="P19" i="63"/>
  <c r="O19" i="63"/>
  <c r="S19" i="63" s="1"/>
  <c r="R18" i="63"/>
  <c r="Q18" i="63"/>
  <c r="P18" i="63"/>
  <c r="O18" i="63"/>
  <c r="S18" i="63" s="1"/>
  <c r="R17" i="63"/>
  <c r="Q17" i="63"/>
  <c r="P17" i="63"/>
  <c r="S17" i="63" s="1"/>
  <c r="O17" i="63"/>
  <c r="R16" i="63"/>
  <c r="Q16" i="63"/>
  <c r="P16" i="63"/>
  <c r="O16" i="63"/>
  <c r="S16" i="63" s="1"/>
  <c r="R15" i="63"/>
  <c r="Q15" i="63"/>
  <c r="P15" i="63"/>
  <c r="O15" i="63"/>
  <c r="R14" i="63"/>
  <c r="Q14" i="63"/>
  <c r="P14" i="63"/>
  <c r="O14" i="63"/>
  <c r="P33" i="63" l="1"/>
  <c r="Q29" i="63"/>
  <c r="Q33" i="63"/>
  <c r="I34" i="63"/>
  <c r="M43" i="63"/>
  <c r="M44" i="63" s="1"/>
  <c r="O22" i="63"/>
  <c r="P22" i="63"/>
  <c r="R29" i="63"/>
  <c r="J34" i="63"/>
  <c r="O39" i="63"/>
  <c r="P40" i="63"/>
  <c r="D44" i="63"/>
  <c r="S27" i="63"/>
  <c r="F34" i="63"/>
  <c r="N34" i="63"/>
  <c r="N44" i="63" s="1"/>
  <c r="K34" i="63"/>
  <c r="P39" i="63"/>
  <c r="O41" i="63"/>
  <c r="S15" i="63"/>
  <c r="O29" i="63"/>
  <c r="R22" i="63"/>
  <c r="S26" i="63"/>
  <c r="S28" i="63"/>
  <c r="S30" i="63"/>
  <c r="D34" i="63"/>
  <c r="L34" i="63"/>
  <c r="Q39" i="63"/>
  <c r="G43" i="63"/>
  <c r="G44" i="63" s="1"/>
  <c r="Q22" i="63"/>
  <c r="H34" i="63"/>
  <c r="H44" i="63" s="1"/>
  <c r="P31" i="63"/>
  <c r="P34" i="63" s="1"/>
  <c r="S35" i="63"/>
  <c r="I43" i="63"/>
  <c r="F43" i="63"/>
  <c r="F44" i="63" s="1"/>
  <c r="K44" i="63"/>
  <c r="L44" i="63"/>
  <c r="P41" i="63"/>
  <c r="E44" i="63"/>
  <c r="O43" i="63"/>
  <c r="S33" i="63"/>
  <c r="S39" i="63"/>
  <c r="Q34" i="63"/>
  <c r="J44" i="63"/>
  <c r="S14" i="63"/>
  <c r="S22" i="63" s="1"/>
  <c r="R31" i="63"/>
  <c r="R34" i="63" s="1"/>
  <c r="C34" i="63"/>
  <c r="C43" i="63"/>
  <c r="C44" i="63" s="1"/>
  <c r="S25" i="63"/>
  <c r="S29" i="63" s="1"/>
  <c r="O34" i="63"/>
  <c r="R39" i="63"/>
  <c r="Q40" i="63"/>
  <c r="Q43" i="63" s="1"/>
  <c r="R40" i="63"/>
  <c r="R43" i="63" s="1"/>
  <c r="P42" i="63"/>
  <c r="S42" i="63" s="1"/>
  <c r="D31" i="9"/>
  <c r="D21" i="47"/>
  <c r="C31" i="9"/>
  <c r="C27" i="9"/>
  <c r="C17" i="9"/>
  <c r="C13" i="9"/>
  <c r="C12" i="9"/>
  <c r="C30" i="47"/>
  <c r="C26" i="47"/>
  <c r="C15" i="47"/>
  <c r="C11" i="47"/>
  <c r="H18" i="46"/>
  <c r="G42" i="62"/>
  <c r="G41" i="62"/>
  <c r="G40" i="62"/>
  <c r="G31" i="62"/>
  <c r="F42" i="62"/>
  <c r="H42" i="62"/>
  <c r="H41" i="62"/>
  <c r="H40" i="62"/>
  <c r="H33" i="62"/>
  <c r="H31" i="62"/>
  <c r="S41" i="63" l="1"/>
  <c r="I44" i="63"/>
  <c r="Q44" i="63"/>
  <c r="P43" i="63"/>
  <c r="P44" i="63" s="1"/>
  <c r="S31" i="63"/>
  <c r="S34" i="63" s="1"/>
  <c r="O44" i="63"/>
  <c r="R44" i="63"/>
  <c r="S40" i="63"/>
  <c r="S43" i="63" s="1"/>
  <c r="G18" i="46"/>
  <c r="G33" i="62"/>
  <c r="S44" i="63" l="1"/>
  <c r="O17" i="46"/>
  <c r="O16" i="46"/>
  <c r="O15" i="46"/>
  <c r="O14" i="46"/>
  <c r="O38" i="62"/>
  <c r="O37" i="62"/>
  <c r="O36" i="62"/>
  <c r="O35" i="62"/>
  <c r="O32" i="62"/>
  <c r="O30" i="62"/>
  <c r="O25" i="62"/>
  <c r="O26" i="62"/>
  <c r="O27" i="62"/>
  <c r="O28" i="62"/>
  <c r="O24" i="62"/>
  <c r="O23" i="62"/>
  <c r="O16" i="62"/>
  <c r="O17" i="62"/>
  <c r="O18" i="62"/>
  <c r="O19" i="62"/>
  <c r="O20" i="62"/>
  <c r="O21" i="62"/>
  <c r="O15" i="62"/>
  <c r="O14" i="62"/>
  <c r="F18" i="46" l="1"/>
  <c r="F41" i="62"/>
  <c r="F40" i="62"/>
  <c r="F33" i="62"/>
  <c r="F31" i="62"/>
  <c r="C22" i="9" l="1"/>
  <c r="C18" i="47"/>
  <c r="C10" i="47"/>
  <c r="G29" i="9" l="1"/>
  <c r="G30" i="9"/>
  <c r="G31" i="9"/>
  <c r="C21" i="47"/>
  <c r="G28" i="47"/>
  <c r="G29" i="47"/>
  <c r="G30" i="47"/>
  <c r="E18" i="46"/>
  <c r="E42" i="62"/>
  <c r="E41" i="62"/>
  <c r="E40" i="62"/>
  <c r="E33" i="62"/>
  <c r="E31" i="62"/>
  <c r="D42" i="62"/>
  <c r="D40" i="62"/>
  <c r="C42" i="62" l="1"/>
  <c r="C33" i="62"/>
  <c r="D18" i="46" l="1"/>
  <c r="D41" i="62"/>
  <c r="D33" i="62"/>
  <c r="D31" i="62"/>
  <c r="C18" i="46" l="1"/>
  <c r="C41" i="62"/>
  <c r="C40" i="62"/>
  <c r="C31" i="62"/>
  <c r="M43" i="62" l="1"/>
  <c r="E43" i="62"/>
  <c r="O42" i="62"/>
  <c r="N43" i="62"/>
  <c r="R42" i="62"/>
  <c r="Q42" i="62"/>
  <c r="F43" i="62"/>
  <c r="O41" i="62"/>
  <c r="R41" i="62"/>
  <c r="Q41" i="62"/>
  <c r="G43" i="62"/>
  <c r="R40" i="62"/>
  <c r="Q40" i="62"/>
  <c r="O40" i="62"/>
  <c r="L43" i="62"/>
  <c r="K43" i="62"/>
  <c r="J43" i="62"/>
  <c r="I43" i="62"/>
  <c r="P40" i="62"/>
  <c r="D43" i="62"/>
  <c r="C43" i="62"/>
  <c r="N39" i="62"/>
  <c r="M39" i="62"/>
  <c r="L39" i="62"/>
  <c r="K39" i="62"/>
  <c r="J39" i="62"/>
  <c r="I39" i="62"/>
  <c r="H39" i="62"/>
  <c r="G39" i="62"/>
  <c r="F39" i="62"/>
  <c r="E39" i="62"/>
  <c r="D39" i="62"/>
  <c r="C39" i="62"/>
  <c r="R38" i="62"/>
  <c r="Q38" i="62"/>
  <c r="P38" i="62"/>
  <c r="R37" i="62"/>
  <c r="Q37" i="62"/>
  <c r="P37" i="62"/>
  <c r="R36" i="62"/>
  <c r="Q36" i="62"/>
  <c r="P36" i="62"/>
  <c r="R35" i="62"/>
  <c r="Q35" i="62"/>
  <c r="P35" i="62"/>
  <c r="N34" i="62"/>
  <c r="F34" i="62"/>
  <c r="O33" i="62"/>
  <c r="R33" i="62"/>
  <c r="Q33" i="62"/>
  <c r="H34" i="62"/>
  <c r="G34" i="62"/>
  <c r="R32" i="62"/>
  <c r="Q32" i="62"/>
  <c r="P32" i="62"/>
  <c r="M34" i="62"/>
  <c r="L34" i="62"/>
  <c r="K34" i="62"/>
  <c r="J34" i="62"/>
  <c r="Q31" i="62"/>
  <c r="P31" i="62"/>
  <c r="E34" i="62"/>
  <c r="D34" i="62"/>
  <c r="C34" i="62"/>
  <c r="R30" i="62"/>
  <c r="Q30" i="62"/>
  <c r="P30" i="62"/>
  <c r="N29" i="62"/>
  <c r="L29" i="62"/>
  <c r="K29" i="62"/>
  <c r="J29" i="62"/>
  <c r="I29" i="62"/>
  <c r="H29" i="62"/>
  <c r="G29" i="62"/>
  <c r="F29" i="62"/>
  <c r="E29" i="62"/>
  <c r="D29" i="62"/>
  <c r="C29" i="62"/>
  <c r="R28" i="62"/>
  <c r="Q28" i="62"/>
  <c r="P28" i="62"/>
  <c r="R27" i="62"/>
  <c r="Q27" i="62"/>
  <c r="P27" i="62"/>
  <c r="R26" i="62"/>
  <c r="Q26" i="62"/>
  <c r="P26" i="62"/>
  <c r="R25" i="62"/>
  <c r="Q25" i="62"/>
  <c r="P25" i="62"/>
  <c r="R24" i="62"/>
  <c r="Q24" i="62"/>
  <c r="P24" i="62"/>
  <c r="R23" i="62"/>
  <c r="Q23" i="62"/>
  <c r="P23" i="62"/>
  <c r="N22" i="62"/>
  <c r="L22" i="62"/>
  <c r="K22" i="62"/>
  <c r="J22" i="62"/>
  <c r="I22" i="62"/>
  <c r="H22" i="62"/>
  <c r="G22" i="62"/>
  <c r="F22" i="62"/>
  <c r="E22" i="62"/>
  <c r="D22" i="62"/>
  <c r="C22" i="62"/>
  <c r="R21" i="62"/>
  <c r="Q21" i="62"/>
  <c r="P21" i="62"/>
  <c r="R20" i="62"/>
  <c r="Q20" i="62"/>
  <c r="P20" i="62"/>
  <c r="R19" i="62"/>
  <c r="Q19" i="62"/>
  <c r="P19" i="62"/>
  <c r="R18" i="62"/>
  <c r="Q18" i="62"/>
  <c r="P18" i="62"/>
  <c r="R17" i="62"/>
  <c r="Q17" i="62"/>
  <c r="P17" i="62"/>
  <c r="R16" i="62"/>
  <c r="Q16" i="62"/>
  <c r="P16" i="62"/>
  <c r="R15" i="62"/>
  <c r="Q15" i="62"/>
  <c r="P15" i="62"/>
  <c r="R14" i="62"/>
  <c r="Q14" i="62"/>
  <c r="P14" i="62"/>
  <c r="S37" i="62" l="1"/>
  <c r="Q43" i="62"/>
  <c r="S30" i="62"/>
  <c r="S28" i="62"/>
  <c r="S26" i="62"/>
  <c r="G44" i="62"/>
  <c r="P39" i="62"/>
  <c r="P22" i="62"/>
  <c r="O43" i="62"/>
  <c r="S21" i="62"/>
  <c r="O39" i="62"/>
  <c r="S36" i="62"/>
  <c r="S25" i="62"/>
  <c r="O22" i="62"/>
  <c r="S15" i="62"/>
  <c r="S40" i="62"/>
  <c r="S38" i="62"/>
  <c r="Q39" i="62"/>
  <c r="R39" i="62"/>
  <c r="Q34" i="62"/>
  <c r="S32" i="62"/>
  <c r="Q29" i="62"/>
  <c r="P29" i="62"/>
  <c r="R29" i="62"/>
  <c r="S27" i="62"/>
  <c r="S24" i="62"/>
  <c r="F44" i="62"/>
  <c r="N44" i="62"/>
  <c r="S23" i="62"/>
  <c r="S20" i="62"/>
  <c r="S16" i="62"/>
  <c r="S18" i="62"/>
  <c r="S17" i="62"/>
  <c r="S19" i="62"/>
  <c r="Q22" i="62"/>
  <c r="R43" i="62"/>
  <c r="J44" i="62"/>
  <c r="C44" i="62"/>
  <c r="K44" i="62"/>
  <c r="D44" i="62"/>
  <c r="L44" i="62"/>
  <c r="E44" i="62"/>
  <c r="M44" i="62"/>
  <c r="P41" i="62"/>
  <c r="S35" i="62"/>
  <c r="I34" i="62"/>
  <c r="I44" i="62" s="1"/>
  <c r="H43" i="62"/>
  <c r="H44" i="62" s="1"/>
  <c r="R22" i="62"/>
  <c r="P42" i="62"/>
  <c r="S42" i="62" s="1"/>
  <c r="O29" i="62"/>
  <c r="P33" i="62"/>
  <c r="P34" i="62" s="1"/>
  <c r="S14" i="62"/>
  <c r="R31" i="62"/>
  <c r="R34" i="62" s="1"/>
  <c r="O31" i="62"/>
  <c r="S31" i="62" l="1"/>
  <c r="P43" i="62"/>
  <c r="P44" i="62" s="1"/>
  <c r="S39" i="62"/>
  <c r="S33" i="62"/>
  <c r="Q44" i="62"/>
  <c r="S29" i="62"/>
  <c r="S22" i="62"/>
  <c r="R44" i="62"/>
  <c r="S41" i="62"/>
  <c r="S43" i="62" s="1"/>
  <c r="O34" i="62"/>
  <c r="O44" i="62" s="1"/>
  <c r="S34" i="62" l="1"/>
  <c r="S44" i="62"/>
  <c r="O18" i="46" l="1"/>
  <c r="C31" i="47" l="1"/>
  <c r="P14" i="46" l="1"/>
  <c r="P17" i="46" l="1"/>
  <c r="P16" i="46"/>
  <c r="P15" i="46"/>
  <c r="P18" i="46" l="1"/>
  <c r="P19" i="46" s="1"/>
  <c r="O19" i="46"/>
  <c r="G15" i="47"/>
  <c r="G11" i="47"/>
  <c r="L30" i="47"/>
  <c r="L27" i="47"/>
  <c r="G27" i="47"/>
  <c r="L26" i="47"/>
  <c r="G26" i="47"/>
  <c r="L25" i="47"/>
  <c r="G25" i="47"/>
  <c r="L24" i="47"/>
  <c r="G24" i="47"/>
  <c r="L23" i="47"/>
  <c r="G23" i="47"/>
  <c r="L22" i="47"/>
  <c r="G22" i="47"/>
  <c r="L21" i="47"/>
  <c r="G21" i="47"/>
  <c r="L20" i="47"/>
  <c r="G20" i="47"/>
  <c r="L19" i="47"/>
  <c r="G19" i="47"/>
  <c r="L18" i="47"/>
  <c r="G18" i="47"/>
  <c r="L17" i="47"/>
  <c r="G17" i="47"/>
  <c r="L16" i="47"/>
  <c r="G16" i="47"/>
  <c r="L15" i="47"/>
  <c r="L14" i="47"/>
  <c r="G14" i="47"/>
  <c r="L13" i="47"/>
  <c r="G13" i="47"/>
  <c r="L12" i="47"/>
  <c r="G12" i="47"/>
  <c r="L11" i="47"/>
  <c r="K31" i="47"/>
  <c r="I31" i="47"/>
  <c r="L10" i="47"/>
  <c r="F31" i="47"/>
  <c r="E31" i="47"/>
  <c r="D31" i="47"/>
  <c r="L31" i="47" l="1"/>
  <c r="H31" i="47"/>
  <c r="G10" i="47"/>
  <c r="G31" i="47" s="1"/>
  <c r="R32" i="46" l="1"/>
  <c r="K33" i="46"/>
  <c r="F33" i="46"/>
  <c r="C33" i="46"/>
  <c r="N33" i="46"/>
  <c r="M33" i="46"/>
  <c r="L33" i="46"/>
  <c r="J33" i="46"/>
  <c r="I33" i="46"/>
  <c r="H33" i="46"/>
  <c r="E33" i="46"/>
  <c r="D33" i="46"/>
  <c r="Q32" i="46"/>
  <c r="G33" i="46"/>
  <c r="R31" i="46"/>
  <c r="Q31" i="46"/>
  <c r="P31" i="46"/>
  <c r="O31" i="46"/>
  <c r="R30" i="46"/>
  <c r="Q30" i="46"/>
  <c r="P30" i="46"/>
  <c r="O30" i="46"/>
  <c r="R29" i="46"/>
  <c r="Q29" i="46"/>
  <c r="P29" i="46"/>
  <c r="O29" i="46"/>
  <c r="R28" i="46"/>
  <c r="Q28" i="46"/>
  <c r="P28" i="46"/>
  <c r="O28" i="46"/>
  <c r="N19" i="46"/>
  <c r="L19" i="46"/>
  <c r="K19" i="46"/>
  <c r="J19" i="46"/>
  <c r="H19" i="46"/>
  <c r="G19" i="46"/>
  <c r="F19" i="46"/>
  <c r="D19" i="46"/>
  <c r="C19" i="46"/>
  <c r="M19" i="46"/>
  <c r="R18" i="46"/>
  <c r="I19" i="46"/>
  <c r="E19" i="46"/>
  <c r="R17" i="46"/>
  <c r="Q17" i="46"/>
  <c r="R16" i="46"/>
  <c r="Q16" i="46"/>
  <c r="R15" i="46"/>
  <c r="Q15" i="46"/>
  <c r="R14" i="46"/>
  <c r="Q14" i="46"/>
  <c r="S15" i="46" l="1"/>
  <c r="S17" i="46"/>
  <c r="S16" i="46"/>
  <c r="S14" i="46"/>
  <c r="O33" i="46"/>
  <c r="R19" i="46"/>
  <c r="Q33" i="46"/>
  <c r="P32" i="46"/>
  <c r="P33" i="46" s="1"/>
  <c r="S28" i="46"/>
  <c r="S29" i="46"/>
  <c r="S30" i="46"/>
  <c r="S31" i="46"/>
  <c r="R33" i="46"/>
  <c r="Q18" i="46"/>
  <c r="O32" i="46"/>
  <c r="Q19" i="46" l="1"/>
  <c r="S18" i="46"/>
  <c r="S19" i="46" s="1"/>
  <c r="S32" i="46"/>
  <c r="S33" i="46" s="1"/>
  <c r="G18" i="9" l="1"/>
  <c r="L18" i="9"/>
  <c r="H32" i="9" l="1"/>
  <c r="I32" i="9"/>
  <c r="J32" i="9"/>
  <c r="K32" i="9"/>
  <c r="F32" i="9" l="1"/>
  <c r="E32" i="9" l="1"/>
  <c r="D32" i="9" l="1"/>
  <c r="G12" i="9"/>
  <c r="L12" i="9"/>
  <c r="G13" i="9"/>
  <c r="L13" i="9"/>
  <c r="G14" i="9"/>
  <c r="L14" i="9"/>
  <c r="G15" i="9"/>
  <c r="L15" i="9"/>
  <c r="G16" i="9"/>
  <c r="L16" i="9"/>
  <c r="G17" i="9"/>
  <c r="L17" i="9"/>
  <c r="G19" i="9"/>
  <c r="L19" i="9"/>
  <c r="G20" i="9"/>
  <c r="L20" i="9"/>
  <c r="G21" i="9"/>
  <c r="L21" i="9"/>
  <c r="G22" i="9"/>
  <c r="L22" i="9"/>
  <c r="G23" i="9"/>
  <c r="L23" i="9"/>
  <c r="G24" i="9"/>
  <c r="L24" i="9"/>
  <c r="G25" i="9"/>
  <c r="L25" i="9"/>
  <c r="G26" i="9"/>
  <c r="L26" i="9"/>
  <c r="G27" i="9"/>
  <c r="L27" i="9"/>
  <c r="G28" i="9"/>
  <c r="L28" i="9"/>
  <c r="L31" i="9"/>
  <c r="C32" i="9"/>
  <c r="L32" i="9" l="1"/>
  <c r="G32" i="9"/>
</calcChain>
</file>

<file path=xl/sharedStrings.xml><?xml version="1.0" encoding="utf-8"?>
<sst xmlns="http://schemas.openxmlformats.org/spreadsheetml/2006/main" count="254" uniqueCount="104">
  <si>
    <t xml:space="preserve">Jan </t>
  </si>
  <si>
    <t>Feb</t>
  </si>
  <si>
    <t>Mar</t>
  </si>
  <si>
    <t>Apr</t>
  </si>
  <si>
    <t>May</t>
  </si>
  <si>
    <t>Jun</t>
  </si>
  <si>
    <t>Jul</t>
  </si>
  <si>
    <t>Aug</t>
  </si>
  <si>
    <t>Sep</t>
  </si>
  <si>
    <t>Oct</t>
  </si>
  <si>
    <t>Nov</t>
  </si>
  <si>
    <t>Dec</t>
  </si>
  <si>
    <t>Q1</t>
  </si>
  <si>
    <t>Q2</t>
  </si>
  <si>
    <t>Q3</t>
  </si>
  <si>
    <t>Q4</t>
  </si>
  <si>
    <t>Year</t>
  </si>
  <si>
    <t>Total deliveries of compound and other</t>
  </si>
  <si>
    <t>processed animal feedstuffs by Northern</t>
  </si>
  <si>
    <t>Ireland feedstuffs manufacturers</t>
  </si>
  <si>
    <t>Total Deliveries (thousand tonnes)</t>
  </si>
  <si>
    <t>QTR 1</t>
  </si>
  <si>
    <t>QTR 2</t>
  </si>
  <si>
    <t>QTR 3</t>
  </si>
  <si>
    <t>QTR 4</t>
  </si>
  <si>
    <t>TOTAL</t>
  </si>
  <si>
    <t>Usage of raw materials in the production of compound</t>
  </si>
  <si>
    <t>and other processed animal feedstuffs (thousand tonnes)</t>
  </si>
  <si>
    <t xml:space="preserve">Barley   </t>
  </si>
  <si>
    <t xml:space="preserve">Wheat    </t>
  </si>
  <si>
    <t>Whole and Flaked Maize</t>
  </si>
  <si>
    <t xml:space="preserve">Maize Gluten Feed </t>
  </si>
  <si>
    <t>By-Products of Malting, Brewing and Distilling</t>
  </si>
  <si>
    <t>Other Grains &amp; Cereal By-Products</t>
  </si>
  <si>
    <t>Rape Seed Cake and Meal</t>
  </si>
  <si>
    <t>Soya Cake and Meal</t>
  </si>
  <si>
    <t>Whole Oilseeds &amp; Other Oilseed Cakes and Meals</t>
  </si>
  <si>
    <t>Fish Meal</t>
  </si>
  <si>
    <t>Meat and Bone Meal</t>
  </si>
  <si>
    <t>Milk Products/By-Products &amp; Other Animal By-Products (excluding fats)</t>
  </si>
  <si>
    <t>Roots and Tubers</t>
  </si>
  <si>
    <t>Citrus and Other Fruit Pulp</t>
  </si>
  <si>
    <t>Molasses and Sugar</t>
  </si>
  <si>
    <t>Oils and Fats</t>
  </si>
  <si>
    <t>Minerals, Vitamins etc</t>
  </si>
  <si>
    <t xml:space="preserve">Other materials </t>
  </si>
  <si>
    <t>Note: Individual items may not add to totals due to roundings.</t>
  </si>
  <si>
    <t>Raw materials sold direct by manufacturers to Northern</t>
  </si>
  <si>
    <t>Ireland farmers &amp; distributing merchants (thousand tonnes)</t>
  </si>
  <si>
    <t>Dried forages &amp; Dried Sugar Beet Pulp</t>
  </si>
  <si>
    <t xml:space="preserve">Does not include sales made by non-manufacturing merchants. </t>
  </si>
  <si>
    <t>Calf milk substitutes</t>
  </si>
  <si>
    <t>Other calf compounds</t>
  </si>
  <si>
    <t>Beef cattle compounds</t>
  </si>
  <si>
    <t>Dairy cow compounds</t>
  </si>
  <si>
    <t>All other cattle compounds</t>
  </si>
  <si>
    <t>Coarse mixes or blends</t>
  </si>
  <si>
    <t>Protein concentrates</t>
  </si>
  <si>
    <t>Total cattle and calf</t>
  </si>
  <si>
    <t>Pig starter and creep feed</t>
  </si>
  <si>
    <t>Pig link/early grower feed</t>
  </si>
  <si>
    <t>Pig growing feed</t>
  </si>
  <si>
    <t>Pig finishing feed</t>
  </si>
  <si>
    <t>Pig breeding feed</t>
  </si>
  <si>
    <t>Total pig</t>
  </si>
  <si>
    <t>Chick rearing feed</t>
  </si>
  <si>
    <t>Layer and breeder feed</t>
  </si>
  <si>
    <t>Broiler feed</t>
  </si>
  <si>
    <t>Turkey and other poultry feed</t>
  </si>
  <si>
    <t>Total poultry</t>
  </si>
  <si>
    <t>Breeding sheep compounds</t>
  </si>
  <si>
    <t>Growing and finishing sheep compounds</t>
  </si>
  <si>
    <t>Total sheep</t>
  </si>
  <si>
    <t>Flaked maize and maize meal</t>
  </si>
  <si>
    <t>Flaked barley and barley meal</t>
  </si>
  <si>
    <t>Other</t>
  </si>
  <si>
    <t>Total other</t>
  </si>
  <si>
    <t>Total all feed</t>
  </si>
  <si>
    <t xml:space="preserve">Deliveries outside NI of compound and </t>
  </si>
  <si>
    <t xml:space="preserve">other processed animal feedstuffs by </t>
  </si>
  <si>
    <t xml:space="preserve">Northern Ireland feedstuffs </t>
  </si>
  <si>
    <t>manufacturers</t>
  </si>
  <si>
    <t>Cattle and calf feed</t>
  </si>
  <si>
    <t>Pig feed</t>
  </si>
  <si>
    <t>Poultry feed</t>
  </si>
  <si>
    <t>Sheep feed</t>
  </si>
  <si>
    <t>Other feed</t>
  </si>
  <si>
    <t>Total feed</t>
  </si>
  <si>
    <t xml:space="preserve">      Totals</t>
  </si>
  <si>
    <t>Beef - Coarse mixes or blends</t>
  </si>
  <si>
    <t>Dairy - Coarse mixes or blends</t>
  </si>
  <si>
    <t>TOTAL DELIVERIES OF COMPOUND AND OTHER PROCESSED ANIMAL FEEDSTUFFS BY NORTHERN IRELAND FEEDSTUFFS MANUFACTURERS</t>
  </si>
  <si>
    <t>Key:</t>
  </si>
  <si>
    <t>Total Deliveries (thousand tonnes) - 2020</t>
  </si>
  <si>
    <t xml:space="preserve">    (C) Crown Copyright 2021</t>
  </si>
  <si>
    <t>Date of next publication: March 2021</t>
  </si>
  <si>
    <t>Prepared: 26th February 2021</t>
  </si>
  <si>
    <t xml:space="preserve"> </t>
  </si>
  <si>
    <t>Total Deliveries (thousand tonnes) - 2021</t>
  </si>
  <si>
    <t>Soya Hulls</t>
  </si>
  <si>
    <t>Palm Kernels</t>
  </si>
  <si>
    <t xml:space="preserve">    (C) Crown Copyright 2022</t>
  </si>
  <si>
    <t>Prepared: 25 February 2022</t>
  </si>
  <si>
    <t>Date of next publication: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</si>
</sst>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00"/>
  </numFmts>
  <fonts count="51" x14ac:knownFonts="1">
    <font>
      <sz val="10"/>
      <name val="Arial"/>
    </font>
    <font>
      <sz val="10"/>
      <name val="Arial"/>
      <family val="2"/>
    </font>
    <font>
      <sz val="10"/>
      <name val="Arial"/>
      <family val="2"/>
    </font>
    <font>
      <sz val="10"/>
      <color indexed="10"/>
      <name val="Arial"/>
      <family val="2"/>
    </font>
    <font>
      <sz val="10"/>
      <color indexed="17"/>
      <name val="Arial"/>
      <family val="2"/>
    </font>
    <font>
      <sz val="10"/>
      <color indexed="14"/>
      <name val="Arial"/>
      <family val="2"/>
    </font>
    <font>
      <sz val="10"/>
      <color indexed="12"/>
      <name val="Arial"/>
      <family val="2"/>
    </font>
    <font>
      <sz val="10"/>
      <color indexed="16"/>
      <name val="Arial"/>
      <family val="2"/>
    </font>
    <font>
      <sz val="10"/>
      <color indexed="46"/>
      <name val="Arial"/>
      <family val="2"/>
    </font>
    <font>
      <b/>
      <sz val="10"/>
      <name val="Arial"/>
      <family val="2"/>
    </font>
    <font>
      <b/>
      <sz val="10"/>
      <color indexed="10"/>
      <name val="Arial"/>
      <family val="2"/>
    </font>
    <font>
      <b/>
      <sz val="10"/>
      <color indexed="17"/>
      <name val="Arial"/>
      <family val="2"/>
    </font>
    <font>
      <b/>
      <sz val="10"/>
      <color indexed="14"/>
      <name val="Arial"/>
      <family val="2"/>
    </font>
    <font>
      <b/>
      <sz val="10"/>
      <color indexed="12"/>
      <name val="Arial"/>
      <family val="2"/>
    </font>
    <font>
      <sz val="10"/>
      <color indexed="8"/>
      <name val="Arial"/>
      <family val="2"/>
    </font>
    <font>
      <b/>
      <sz val="10"/>
      <color indexed="29"/>
      <name val="Arial"/>
      <family val="2"/>
    </font>
    <font>
      <b/>
      <sz val="12"/>
      <name val="Arial"/>
      <family val="2"/>
    </font>
    <font>
      <b/>
      <sz val="12"/>
      <color indexed="12"/>
      <name val="Arial"/>
      <family val="2"/>
    </font>
    <font>
      <sz val="12"/>
      <color indexed="37"/>
      <name val="Arial"/>
      <family val="2"/>
    </font>
    <font>
      <b/>
      <sz val="12"/>
      <color indexed="8"/>
      <name val="Arial"/>
      <family val="2"/>
    </font>
    <font>
      <b/>
      <sz val="12"/>
      <color indexed="10"/>
      <name val="Arial"/>
      <family val="2"/>
    </font>
    <font>
      <b/>
      <sz val="12"/>
      <color indexed="17"/>
      <name val="Arial"/>
      <family val="2"/>
    </font>
    <font>
      <b/>
      <sz val="12"/>
      <color indexed="14"/>
      <name val="Arial"/>
      <family val="2"/>
    </font>
    <font>
      <b/>
      <sz val="12"/>
      <color indexed="16"/>
      <name val="Arial"/>
      <family val="2"/>
    </font>
    <font>
      <b/>
      <sz val="12"/>
      <color indexed="12"/>
      <name val="Arial"/>
      <family val="2"/>
    </font>
    <font>
      <b/>
      <sz val="12"/>
      <color indexed="10"/>
      <name val="Arial"/>
      <family val="2"/>
    </font>
    <font>
      <b/>
      <sz val="12"/>
      <color indexed="17"/>
      <name val="Arial"/>
      <family val="2"/>
    </font>
    <font>
      <b/>
      <sz val="12"/>
      <color indexed="14"/>
      <name val="Arial"/>
      <family val="2"/>
    </font>
    <font>
      <sz val="12"/>
      <color indexed="10"/>
      <name val="Arial"/>
      <family val="2"/>
    </font>
    <font>
      <sz val="12"/>
      <color indexed="17"/>
      <name val="Arial"/>
      <family val="2"/>
    </font>
    <font>
      <sz val="12"/>
      <color indexed="14"/>
      <name val="Arial"/>
      <family val="2"/>
    </font>
    <font>
      <sz val="12"/>
      <color indexed="12"/>
      <name val="Arial"/>
      <family val="2"/>
    </font>
    <font>
      <sz val="12"/>
      <color indexed="16"/>
      <name val="Arial"/>
      <family val="2"/>
    </font>
    <font>
      <sz val="12"/>
      <color indexed="8"/>
      <name val="Arial"/>
      <family val="2"/>
    </font>
    <font>
      <sz val="12"/>
      <color indexed="16"/>
      <name val="Arial"/>
      <family val="2"/>
    </font>
    <font>
      <b/>
      <sz val="12"/>
      <color indexed="63"/>
      <name val="Arial"/>
      <family val="2"/>
    </font>
    <font>
      <b/>
      <sz val="12"/>
      <color indexed="29"/>
      <name val="Arial"/>
      <family val="2"/>
    </font>
    <font>
      <b/>
      <sz val="12"/>
      <color indexed="9"/>
      <name val="Arial"/>
      <family val="2"/>
    </font>
    <font>
      <b/>
      <sz val="10"/>
      <name val="Arial"/>
      <family val="2"/>
    </font>
    <font>
      <sz val="9.5"/>
      <name val="Arial"/>
      <family val="2"/>
    </font>
    <font>
      <b/>
      <sz val="10.5"/>
      <color indexed="8"/>
      <name val="Arial"/>
      <family val="2"/>
    </font>
    <font>
      <sz val="10"/>
      <name val="MS Sans Serif"/>
      <family val="2"/>
    </font>
    <font>
      <sz val="9.5"/>
      <color indexed="12"/>
      <name val="Arial"/>
      <family val="2"/>
    </font>
    <font>
      <sz val="10"/>
      <color indexed="12"/>
      <name val="MS Sans Serif"/>
      <family val="2"/>
    </font>
    <font>
      <b/>
      <sz val="12"/>
      <color rgb="FF3333FF"/>
      <name val="Arial"/>
      <family val="2"/>
    </font>
    <font>
      <b/>
      <sz val="14.5"/>
      <name val="MS Serif"/>
      <family val="1"/>
    </font>
    <font>
      <sz val="8"/>
      <name val="Arial"/>
      <family val="2"/>
    </font>
    <font>
      <sz val="10"/>
      <name val="MS Serif"/>
      <family val="1"/>
    </font>
    <font>
      <b/>
      <sz val="11"/>
      <name val="Arial"/>
      <family val="2"/>
    </font>
    <font>
      <sz val="11"/>
      <name val="MS Serif"/>
      <family val="1"/>
    </font>
    <font>
      <sz val="11"/>
      <name val="Arial"/>
      <family val="2"/>
    </font>
  </fonts>
  <fills count="10">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17"/>
        <bgColor indexed="64"/>
      </patternFill>
    </fill>
    <fill>
      <patternFill patternType="solid">
        <fgColor indexed="10"/>
        <bgColor indexed="64"/>
      </patternFill>
    </fill>
    <fill>
      <patternFill patternType="solid">
        <fgColor indexed="12"/>
        <bgColor indexed="64"/>
      </patternFill>
    </fill>
    <fill>
      <patternFill patternType="solid">
        <fgColor indexed="2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41" fillId="0" borderId="0"/>
    <xf numFmtId="0" fontId="1" fillId="0" borderId="0" applyBorder="0" applyAlignment="0"/>
    <xf numFmtId="0" fontId="2" fillId="0" borderId="0"/>
    <xf numFmtId="0" fontId="1" fillId="0" borderId="0"/>
    <xf numFmtId="0" fontId="1" fillId="0" borderId="0"/>
  </cellStyleXfs>
  <cellXfs count="252">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2" fillId="0" borderId="0" xfId="0" applyFont="1"/>
    <xf numFmtId="0" fontId="14" fillId="2" borderId="0" xfId="0" applyFont="1" applyFill="1"/>
    <xf numFmtId="0" fontId="14" fillId="0" borderId="0" xfId="0" applyFont="1"/>
    <xf numFmtId="0" fontId="0" fillId="2" borderId="0" xfId="0" applyFill="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12" fillId="0" borderId="0" xfId="0" applyFont="1"/>
    <xf numFmtId="0" fontId="11" fillId="0" borderId="0" xfId="0" applyFont="1"/>
    <xf numFmtId="0" fontId="10" fillId="0" borderId="0" xfId="0" applyFont="1"/>
    <xf numFmtId="0" fontId="13" fillId="0" borderId="0" xfId="0" applyFont="1"/>
    <xf numFmtId="0" fontId="15" fillId="0" borderId="0" xfId="0" applyFont="1"/>
    <xf numFmtId="0" fontId="2" fillId="2" borderId="1" xfId="0" applyFont="1" applyFill="1" applyBorder="1"/>
    <xf numFmtId="0" fontId="12" fillId="2" borderId="0" xfId="0" applyFont="1" applyFill="1" applyBorder="1" applyAlignment="1">
      <alignment horizontal="center"/>
    </xf>
    <xf numFmtId="0" fontId="11" fillId="2" borderId="0" xfId="0" applyFont="1" applyFill="1" applyBorder="1" applyAlignment="1">
      <alignment horizontal="center"/>
    </xf>
    <xf numFmtId="0" fontId="10" fillId="2" borderId="0" xfId="0" applyFont="1" applyFill="1" applyBorder="1" applyAlignment="1">
      <alignment horizontal="center"/>
    </xf>
    <xf numFmtId="0" fontId="13" fillId="2" borderId="0" xfId="0" applyFont="1" applyFill="1" applyBorder="1" applyAlignment="1">
      <alignment horizontal="center"/>
    </xf>
    <xf numFmtId="0" fontId="15" fillId="2" borderId="0" xfId="0" applyFont="1" applyFill="1" applyBorder="1" applyAlignment="1">
      <alignment horizontal="center"/>
    </xf>
    <xf numFmtId="0" fontId="12" fillId="2" borderId="0" xfId="0" applyFont="1" applyFill="1"/>
    <xf numFmtId="0" fontId="11" fillId="2" borderId="0" xfId="0" applyFont="1" applyFill="1"/>
    <xf numFmtId="0" fontId="10" fillId="2" borderId="0" xfId="0" applyFont="1" applyFill="1"/>
    <xf numFmtId="0" fontId="13" fillId="2" borderId="0" xfId="0" applyFont="1" applyFill="1"/>
    <xf numFmtId="0" fontId="15" fillId="2" borderId="0" xfId="0" applyFont="1" applyFill="1"/>
    <xf numFmtId="166" fontId="17" fillId="0" borderId="2" xfId="0" applyNumberFormat="1" applyFont="1" applyFill="1" applyBorder="1" applyProtection="1">
      <protection locked="0"/>
    </xf>
    <xf numFmtId="0" fontId="18" fillId="0" borderId="2" xfId="0" applyFont="1" applyBorder="1"/>
    <xf numFmtId="0" fontId="19" fillId="0" borderId="3" xfId="0" applyFont="1" applyBorder="1" applyAlignment="1">
      <alignment horizontal="left"/>
    </xf>
    <xf numFmtId="166" fontId="21" fillId="0" borderId="4" xfId="0" applyNumberFormat="1" applyFont="1" applyFill="1" applyBorder="1" applyProtection="1"/>
    <xf numFmtId="166" fontId="21" fillId="0" borderId="2" xfId="0" applyNumberFormat="1" applyFont="1" applyFill="1" applyBorder="1" applyProtection="1"/>
    <xf numFmtId="166" fontId="21" fillId="0" borderId="5" xfId="0" applyNumberFormat="1" applyFont="1" applyFill="1" applyBorder="1" applyProtection="1"/>
    <xf numFmtId="166" fontId="19" fillId="0" borderId="6" xfId="0" applyNumberFormat="1" applyFont="1" applyFill="1" applyBorder="1" applyProtection="1"/>
    <xf numFmtId="166" fontId="19" fillId="0" borderId="7" xfId="0" applyNumberFormat="1" applyFont="1" applyFill="1" applyBorder="1" applyProtection="1"/>
    <xf numFmtId="166" fontId="19" fillId="0" borderId="8" xfId="0" applyNumberFormat="1" applyFont="1" applyFill="1" applyBorder="1" applyProtection="1"/>
    <xf numFmtId="0" fontId="2" fillId="2" borderId="0" xfId="0" applyFont="1" applyFill="1" applyBorder="1"/>
    <xf numFmtId="0" fontId="9" fillId="0" borderId="11" xfId="0" applyFont="1" applyFill="1" applyBorder="1" applyAlignment="1">
      <alignment horizontal="centerContinuous"/>
    </xf>
    <xf numFmtId="0" fontId="3" fillId="0" borderId="12" xfId="0" applyFont="1" applyFill="1" applyBorder="1" applyAlignment="1">
      <alignment horizontal="centerContinuous"/>
    </xf>
    <xf numFmtId="0" fontId="4" fillId="0" borderId="12" xfId="0" applyFont="1" applyFill="1" applyBorder="1" applyAlignment="1">
      <alignment horizontal="centerContinuous"/>
    </xf>
    <xf numFmtId="0" fontId="5" fillId="0" borderId="13" xfId="0" applyFont="1" applyFill="1" applyBorder="1" applyAlignment="1">
      <alignment horizontal="centerContinuous"/>
    </xf>
    <xf numFmtId="0" fontId="6" fillId="0" borderId="13" xfId="0" applyFont="1" applyFill="1" applyBorder="1" applyAlignment="1">
      <alignment horizontal="centerContinuous"/>
    </xf>
    <xf numFmtId="0" fontId="3" fillId="0" borderId="13" xfId="0" applyFont="1" applyFill="1" applyBorder="1" applyAlignment="1">
      <alignment horizontal="centerContinuous"/>
    </xf>
    <xf numFmtId="0" fontId="4" fillId="0" borderId="13" xfId="0" applyFont="1" applyFill="1" applyBorder="1" applyAlignment="1">
      <alignment horizontal="centerContinuous"/>
    </xf>
    <xf numFmtId="0" fontId="7" fillId="0" borderId="14" xfId="0" applyFont="1" applyFill="1" applyBorder="1" applyAlignment="1">
      <alignment horizontal="centerContinuous"/>
    </xf>
    <xf numFmtId="1" fontId="24" fillId="0" borderId="9" xfId="0" applyNumberFormat="1" applyFont="1" applyFill="1" applyBorder="1" applyAlignment="1">
      <alignment horizontal="center"/>
    </xf>
    <xf numFmtId="1" fontId="25" fillId="0" borderId="9" xfId="0" applyNumberFormat="1" applyFont="1" applyFill="1" applyBorder="1" applyAlignment="1">
      <alignment horizontal="center"/>
    </xf>
    <xf numFmtId="1" fontId="26" fillId="0" borderId="9" xfId="0" applyNumberFormat="1" applyFont="1" applyFill="1" applyBorder="1" applyAlignment="1">
      <alignment horizontal="center"/>
    </xf>
    <xf numFmtId="1" fontId="27" fillId="0" borderId="9" xfId="0" applyNumberFormat="1" applyFont="1" applyFill="1" applyBorder="1" applyAlignment="1">
      <alignment horizontal="center"/>
    </xf>
    <xf numFmtId="1" fontId="24" fillId="0" borderId="10" xfId="0" applyNumberFormat="1" applyFont="1" applyFill="1" applyBorder="1" applyAlignment="1">
      <alignment horizontal="center"/>
    </xf>
    <xf numFmtId="1" fontId="21" fillId="0" borderId="15" xfId="0" applyNumberFormat="1" applyFont="1" applyFill="1" applyBorder="1" applyAlignment="1">
      <alignment horizontal="center"/>
    </xf>
    <xf numFmtId="1" fontId="21" fillId="0" borderId="10" xfId="0" applyNumberFormat="1" applyFont="1" applyFill="1" applyBorder="1" applyAlignment="1">
      <alignment horizontal="center"/>
    </xf>
    <xf numFmtId="1" fontId="21" fillId="0" borderId="16" xfId="0" applyNumberFormat="1" applyFont="1" applyFill="1" applyBorder="1" applyAlignment="1">
      <alignment horizontal="center"/>
    </xf>
    <xf numFmtId="1" fontId="19" fillId="0" borderId="8" xfId="0" applyNumberFormat="1" applyFont="1" applyFill="1" applyBorder="1" applyAlignment="1">
      <alignment horizontal="center"/>
    </xf>
    <xf numFmtId="1" fontId="24" fillId="0" borderId="3" xfId="0" applyNumberFormat="1" applyFont="1" applyFill="1" applyBorder="1" applyAlignment="1">
      <alignment horizontal="center"/>
    </xf>
    <xf numFmtId="1" fontId="25" fillId="0" borderId="3" xfId="0" applyNumberFormat="1" applyFont="1" applyFill="1" applyBorder="1" applyAlignment="1">
      <alignment horizontal="center"/>
    </xf>
    <xf numFmtId="1" fontId="26" fillId="0" borderId="3" xfId="0" applyNumberFormat="1" applyFont="1" applyFill="1" applyBorder="1" applyAlignment="1">
      <alignment horizontal="center"/>
    </xf>
    <xf numFmtId="1" fontId="27" fillId="0" borderId="3" xfId="0" applyNumberFormat="1" applyFont="1" applyFill="1" applyBorder="1" applyAlignment="1">
      <alignment horizontal="center"/>
    </xf>
    <xf numFmtId="1" fontId="21" fillId="0" borderId="17" xfId="0" applyNumberFormat="1" applyFont="1" applyFill="1" applyBorder="1" applyAlignment="1">
      <alignment horizontal="center"/>
    </xf>
    <xf numFmtId="1" fontId="21" fillId="0" borderId="3" xfId="0" applyNumberFormat="1" applyFont="1" applyFill="1" applyBorder="1" applyAlignment="1">
      <alignment horizontal="center"/>
    </xf>
    <xf numFmtId="1" fontId="21" fillId="0" borderId="18" xfId="0" applyNumberFormat="1" applyFont="1" applyFill="1" applyBorder="1" applyAlignment="1">
      <alignment horizontal="center"/>
    </xf>
    <xf numFmtId="0" fontId="28" fillId="0" borderId="12" xfId="0" applyFont="1" applyBorder="1" applyAlignment="1">
      <alignment horizontal="centerContinuous"/>
    </xf>
    <xf numFmtId="0" fontId="29" fillId="0" borderId="12" xfId="0" applyFont="1" applyBorder="1" applyAlignment="1">
      <alignment horizontal="centerContinuous"/>
    </xf>
    <xf numFmtId="0" fontId="30" fillId="0" borderId="13" xfId="0" applyFont="1" applyBorder="1" applyAlignment="1">
      <alignment horizontal="centerContinuous"/>
    </xf>
    <xf numFmtId="0" fontId="31" fillId="0" borderId="13" xfId="0" applyFont="1" applyBorder="1" applyAlignment="1">
      <alignment horizontal="centerContinuous"/>
    </xf>
    <xf numFmtId="0" fontId="28" fillId="0" borderId="13" xfId="0" applyFont="1" applyBorder="1" applyAlignment="1">
      <alignment horizontal="centerContinuous"/>
    </xf>
    <xf numFmtId="0" fontId="29" fillId="0" borderId="13" xfId="0" applyFont="1" applyBorder="1" applyAlignment="1">
      <alignment horizontal="centerContinuous"/>
    </xf>
    <xf numFmtId="0" fontId="32" fillId="0" borderId="14" xfId="0" applyFont="1" applyBorder="1" applyAlignment="1">
      <alignment horizontal="centerContinuous"/>
    </xf>
    <xf numFmtId="0" fontId="33" fillId="0" borderId="9" xfId="0" applyFont="1" applyFill="1" applyBorder="1" applyAlignment="1">
      <alignment horizontal="centerContinuous"/>
    </xf>
    <xf numFmtId="0" fontId="33" fillId="0" borderId="10" xfId="0" applyFont="1" applyFill="1" applyBorder="1" applyAlignment="1">
      <alignment horizontal="centerContinuous"/>
    </xf>
    <xf numFmtId="0" fontId="33" fillId="0" borderId="3" xfId="0" applyFont="1" applyFill="1" applyBorder="1" applyAlignment="1">
      <alignment horizontal="center"/>
    </xf>
    <xf numFmtId="0" fontId="18" fillId="0" borderId="9" xfId="0" applyFont="1" applyBorder="1"/>
    <xf numFmtId="166" fontId="17" fillId="0" borderId="9" xfId="0" applyNumberFormat="1" applyFont="1" applyFill="1" applyBorder="1" applyProtection="1">
      <protection locked="0"/>
    </xf>
    <xf numFmtId="166" fontId="21" fillId="0" borderId="9" xfId="0" applyNumberFormat="1" applyFont="1" applyFill="1" applyBorder="1" applyProtection="1"/>
    <xf numFmtId="166" fontId="21" fillId="0" borderId="19" xfId="0" applyNumberFormat="1" applyFont="1" applyFill="1" applyBorder="1" applyProtection="1"/>
    <xf numFmtId="166" fontId="19" fillId="0" borderId="20" xfId="0" applyNumberFormat="1" applyFont="1" applyFill="1" applyBorder="1" applyProtection="1"/>
    <xf numFmtId="0" fontId="18" fillId="0" borderId="3" xfId="0" applyFont="1" applyBorder="1"/>
    <xf numFmtId="166" fontId="17" fillId="0" borderId="3" xfId="0" applyNumberFormat="1" applyFont="1" applyFill="1" applyBorder="1" applyProtection="1">
      <protection locked="0"/>
    </xf>
    <xf numFmtId="166" fontId="21" fillId="0" borderId="3" xfId="0" applyNumberFormat="1" applyFont="1" applyFill="1" applyBorder="1" applyProtection="1"/>
    <xf numFmtId="166" fontId="21" fillId="0" borderId="18" xfId="0" applyNumberFormat="1" applyFont="1" applyFill="1" applyBorder="1" applyProtection="1"/>
    <xf numFmtId="0" fontId="19" fillId="0" borderId="21" xfId="0" applyFont="1" applyFill="1" applyBorder="1" applyAlignment="1">
      <alignment horizontal="left"/>
    </xf>
    <xf numFmtId="166" fontId="19" fillId="0" borderId="21" xfId="0" applyNumberFormat="1" applyFont="1" applyFill="1" applyBorder="1" applyProtection="1">
      <protection hidden="1"/>
    </xf>
    <xf numFmtId="166" fontId="19" fillId="0" borderId="22" xfId="0" applyNumberFormat="1" applyFont="1" applyFill="1" applyBorder="1" applyProtection="1">
      <protection hidden="1"/>
    </xf>
    <xf numFmtId="166" fontId="19" fillId="0" borderId="23" xfId="0" applyNumberFormat="1" applyFont="1" applyFill="1" applyBorder="1" applyProtection="1">
      <protection hidden="1"/>
    </xf>
    <xf numFmtId="166" fontId="19" fillId="0" borderId="22" xfId="0" applyNumberFormat="1" applyFont="1" applyFill="1" applyBorder="1" applyProtection="1"/>
    <xf numFmtId="0" fontId="6" fillId="0" borderId="14" xfId="0" applyFont="1" applyFill="1" applyBorder="1" applyAlignment="1">
      <alignment horizontal="centerContinuous"/>
    </xf>
    <xf numFmtId="0" fontId="3" fillId="0" borderId="14" xfId="0" applyFont="1" applyFill="1" applyBorder="1" applyAlignment="1">
      <alignment horizontal="centerContinuous"/>
    </xf>
    <xf numFmtId="0" fontId="4" fillId="0" borderId="14" xfId="0" applyFont="1" applyFill="1" applyBorder="1" applyAlignment="1">
      <alignment horizontal="centerContinuous"/>
    </xf>
    <xf numFmtId="0" fontId="5" fillId="0" borderId="14" xfId="0" applyFont="1" applyFill="1" applyBorder="1" applyAlignment="1">
      <alignment horizontal="centerContinuous"/>
    </xf>
    <xf numFmtId="1" fontId="17" fillId="0" borderId="24" xfId="0" applyNumberFormat="1" applyFont="1" applyFill="1" applyBorder="1" applyAlignment="1">
      <alignment horizontal="center"/>
    </xf>
    <xf numFmtId="1" fontId="20" fillId="0" borderId="9" xfId="0" applyNumberFormat="1" applyFont="1" applyFill="1" applyBorder="1" applyAlignment="1">
      <alignment horizontal="center"/>
    </xf>
    <xf numFmtId="1" fontId="21" fillId="0" borderId="9" xfId="0" applyNumberFormat="1" applyFont="1" applyFill="1" applyBorder="1" applyAlignment="1">
      <alignment horizontal="center"/>
    </xf>
    <xf numFmtId="1" fontId="22" fillId="0" borderId="19" xfId="0" applyNumberFormat="1" applyFont="1" applyFill="1" applyBorder="1" applyAlignment="1">
      <alignment horizontal="center"/>
    </xf>
    <xf numFmtId="1" fontId="23" fillId="0" borderId="20" xfId="0" applyNumberFormat="1" applyFont="1" applyFill="1" applyBorder="1" applyAlignment="1">
      <alignment horizontal="center"/>
    </xf>
    <xf numFmtId="0" fontId="31" fillId="0" borderId="14" xfId="0" applyFont="1" applyBorder="1" applyAlignment="1">
      <alignment horizontal="centerContinuous"/>
    </xf>
    <xf numFmtId="0" fontId="28" fillId="0" borderId="14" xfId="0" applyFont="1" applyBorder="1" applyAlignment="1">
      <alignment horizontal="centerContinuous"/>
    </xf>
    <xf numFmtId="0" fontId="29" fillId="0" borderId="14" xfId="0" applyFont="1" applyBorder="1" applyAlignment="1">
      <alignment horizontal="centerContinuous"/>
    </xf>
    <xf numFmtId="0" fontId="30" fillId="0" borderId="14" xfId="0" applyFont="1" applyBorder="1" applyAlignment="1">
      <alignment horizontal="centerContinuous"/>
    </xf>
    <xf numFmtId="0" fontId="34" fillId="0" borderId="9" xfId="0" applyFont="1" applyBorder="1" applyAlignment="1"/>
    <xf numFmtId="0" fontId="34" fillId="0" borderId="2" xfId="0" applyFont="1" applyBorder="1" applyAlignment="1"/>
    <xf numFmtId="0" fontId="23" fillId="0" borderId="2" xfId="0" applyFont="1" applyBorder="1" applyAlignment="1">
      <alignment horizontal="left"/>
    </xf>
    <xf numFmtId="0" fontId="34" fillId="0" borderId="0" xfId="0" applyFont="1"/>
    <xf numFmtId="0" fontId="35" fillId="4" borderId="10" xfId="0" applyFont="1" applyFill="1" applyBorder="1" applyAlignment="1">
      <alignment horizontal="center"/>
    </xf>
    <xf numFmtId="0" fontId="22" fillId="4" borderId="11" xfId="0" applyFont="1" applyFill="1" applyBorder="1" applyAlignment="1">
      <alignment horizontal="center"/>
    </xf>
    <xf numFmtId="0" fontId="21" fillId="4" borderId="12" xfId="0" applyFont="1" applyFill="1" applyBorder="1" applyAlignment="1">
      <alignment horizontal="center"/>
    </xf>
    <xf numFmtId="0" fontId="19" fillId="4" borderId="12" xfId="0" applyFont="1" applyFill="1" applyBorder="1" applyAlignment="1">
      <alignment horizontal="center"/>
    </xf>
    <xf numFmtId="0" fontId="17" fillId="4" borderId="12" xfId="0" applyFont="1" applyFill="1" applyBorder="1" applyAlignment="1">
      <alignment horizontal="center"/>
    </xf>
    <xf numFmtId="0" fontId="36" fillId="4" borderId="13" xfId="0" applyFont="1" applyFill="1" applyBorder="1" applyAlignment="1">
      <alignment horizontal="center"/>
    </xf>
    <xf numFmtId="0" fontId="37" fillId="5" borderId="11" xfId="0" applyFont="1" applyFill="1" applyBorder="1" applyAlignment="1">
      <alignment horizontal="center"/>
    </xf>
    <xf numFmtId="0" fontId="37" fillId="6" borderId="11" xfId="0" applyFont="1" applyFill="1" applyBorder="1" applyAlignment="1">
      <alignment horizontal="center"/>
    </xf>
    <xf numFmtId="0" fontId="37" fillId="7" borderId="11" xfId="0" applyFont="1" applyFill="1" applyBorder="1" applyAlignment="1">
      <alignment horizontal="center"/>
    </xf>
    <xf numFmtId="0" fontId="37" fillId="8" borderId="11" xfId="0" applyFont="1" applyFill="1" applyBorder="1" applyAlignment="1">
      <alignment horizontal="center"/>
    </xf>
    <xf numFmtId="0" fontId="37" fillId="9" borderId="2" xfId="0" applyFont="1" applyFill="1" applyBorder="1" applyAlignment="1">
      <alignment horizontal="center"/>
    </xf>
    <xf numFmtId="0" fontId="34" fillId="2" borderId="0" xfId="0" applyFont="1" applyFill="1"/>
    <xf numFmtId="0" fontId="22" fillId="2" borderId="0" xfId="0" applyFont="1" applyFill="1"/>
    <xf numFmtId="0" fontId="21" fillId="2" borderId="0" xfId="0" applyFont="1" applyFill="1"/>
    <xf numFmtId="0" fontId="20" fillId="2" borderId="0" xfId="0" applyFont="1" applyFill="1"/>
    <xf numFmtId="0" fontId="17" fillId="2" borderId="0" xfId="0" applyFont="1" applyFill="1"/>
    <xf numFmtId="0" fontId="36" fillId="2" borderId="0" xfId="0" applyFont="1" applyFill="1"/>
    <xf numFmtId="0" fontId="22" fillId="0" borderId="0" xfId="0" applyFont="1"/>
    <xf numFmtId="0" fontId="36" fillId="0" borderId="0" xfId="0" applyFont="1"/>
    <xf numFmtId="0" fontId="17" fillId="0" borderId="0" xfId="0" applyFont="1"/>
    <xf numFmtId="0" fontId="2" fillId="0" borderId="0" xfId="0" applyFont="1" applyFill="1"/>
    <xf numFmtId="0" fontId="34" fillId="0" borderId="0" xfId="0" applyFont="1" applyFill="1"/>
    <xf numFmtId="0" fontId="22" fillId="0" borderId="0" xfId="0" applyFont="1" applyFill="1"/>
    <xf numFmtId="0" fontId="21" fillId="0" borderId="0" xfId="0" applyFont="1" applyFill="1"/>
    <xf numFmtId="0" fontId="20" fillId="0" borderId="0" xfId="0" applyFont="1" applyFill="1"/>
    <xf numFmtId="0" fontId="17" fillId="0" borderId="0" xfId="0" applyFont="1" applyFill="1"/>
    <xf numFmtId="0" fontId="36" fillId="0" borderId="0" xfId="0" applyFont="1" applyFill="1"/>
    <xf numFmtId="0" fontId="22" fillId="4" borderId="12" xfId="0" applyFont="1" applyFill="1" applyBorder="1" applyAlignment="1">
      <alignment horizontal="center"/>
    </xf>
    <xf numFmtId="0" fontId="37" fillId="5" borderId="12" xfId="0" applyFont="1" applyFill="1" applyBorder="1" applyAlignment="1">
      <alignment horizontal="center"/>
    </xf>
    <xf numFmtId="0" fontId="36" fillId="4" borderId="25" xfId="0" applyFont="1" applyFill="1" applyBorder="1" applyAlignment="1">
      <alignment horizontal="center"/>
    </xf>
    <xf numFmtId="0" fontId="37" fillId="9" borderId="5" xfId="0" applyFont="1" applyFill="1" applyBorder="1" applyAlignment="1">
      <alignment horizontal="center"/>
    </xf>
    <xf numFmtId="166" fontId="17" fillId="0" borderId="0" xfId="0" applyNumberFormat="1" applyFont="1"/>
    <xf numFmtId="166" fontId="17" fillId="0" borderId="26" xfId="0" applyNumberFormat="1" applyFont="1" applyBorder="1" applyProtection="1">
      <protection locked="0"/>
    </xf>
    <xf numFmtId="166" fontId="19" fillId="0" borderId="19" xfId="0" applyNumberFormat="1" applyFont="1" applyBorder="1" applyProtection="1">
      <protection locked="0"/>
    </xf>
    <xf numFmtId="166" fontId="19" fillId="0" borderId="9" xfId="0" applyNumberFormat="1" applyFont="1" applyBorder="1" applyProtection="1">
      <protection locked="0"/>
    </xf>
    <xf numFmtId="166" fontId="19" fillId="0" borderId="5" xfId="0" applyNumberFormat="1" applyFont="1" applyBorder="1"/>
    <xf numFmtId="166" fontId="19" fillId="0" borderId="2" xfId="0" applyNumberFormat="1" applyFont="1" applyBorder="1"/>
    <xf numFmtId="0" fontId="7" fillId="0" borderId="0" xfId="0" applyFont="1" applyFill="1"/>
    <xf numFmtId="0" fontId="12" fillId="0" borderId="0" xfId="0" applyFont="1" applyFill="1"/>
    <xf numFmtId="0" fontId="11" fillId="0" borderId="0" xfId="0" applyFont="1" applyFill="1"/>
    <xf numFmtId="0" fontId="10" fillId="0" borderId="0" xfId="0" applyFont="1" applyFill="1"/>
    <xf numFmtId="0" fontId="13" fillId="0" borderId="0" xfId="0" applyFont="1" applyFill="1"/>
    <xf numFmtId="0" fontId="15" fillId="0" borderId="0" xfId="0" applyFont="1" applyFill="1"/>
    <xf numFmtId="0" fontId="0" fillId="0" borderId="0" xfId="0" applyFill="1"/>
    <xf numFmtId="0" fontId="3" fillId="0" borderId="0" xfId="0" applyFont="1" applyFill="1"/>
    <xf numFmtId="0" fontId="4" fillId="0" borderId="0" xfId="0" applyFont="1" applyFill="1"/>
    <xf numFmtId="0" fontId="5" fillId="0" borderId="0" xfId="0" applyFont="1" applyFill="1"/>
    <xf numFmtId="0" fontId="6" fillId="0" borderId="0" xfId="0" applyFont="1" applyFill="1"/>
    <xf numFmtId="0" fontId="8" fillId="0" borderId="0" xfId="0" applyFont="1" applyFill="1"/>
    <xf numFmtId="165" fontId="17" fillId="0" borderId="0" xfId="0" applyNumberFormat="1" applyFont="1"/>
    <xf numFmtId="165" fontId="17" fillId="0" borderId="2" xfId="0" applyNumberFormat="1" applyFont="1" applyFill="1" applyBorder="1" applyProtection="1">
      <protection locked="0"/>
    </xf>
    <xf numFmtId="165" fontId="17" fillId="0" borderId="9" xfId="0" applyNumberFormat="1" applyFont="1" applyFill="1" applyBorder="1" applyProtection="1">
      <protection locked="0"/>
    </xf>
    <xf numFmtId="0" fontId="38" fillId="0" borderId="0" xfId="0" applyFont="1"/>
    <xf numFmtId="0" fontId="39" fillId="0" borderId="0" xfId="2" applyFont="1" applyBorder="1"/>
    <xf numFmtId="0" fontId="40" fillId="0" borderId="0" xfId="1" applyFont="1" applyProtection="1">
      <protection locked="0"/>
    </xf>
    <xf numFmtId="166" fontId="19" fillId="0" borderId="27" xfId="0" applyNumberFormat="1" applyFont="1" applyFill="1" applyBorder="1" applyProtection="1">
      <protection hidden="1"/>
    </xf>
    <xf numFmtId="166" fontId="19" fillId="0" borderId="28" xfId="0" applyNumberFormat="1" applyFont="1" applyFill="1" applyBorder="1" applyProtection="1">
      <protection hidden="1"/>
    </xf>
    <xf numFmtId="164" fontId="42" fillId="0" borderId="0" xfId="2" applyNumberFormat="1" applyFont="1" applyBorder="1" applyAlignment="1">
      <alignment horizontal="center"/>
    </xf>
    <xf numFmtId="164" fontId="43" fillId="0" borderId="0" xfId="0" applyNumberFormat="1" applyFont="1" applyBorder="1" applyAlignment="1">
      <alignment horizontal="center"/>
    </xf>
    <xf numFmtId="164" fontId="42" fillId="0" borderId="0" xfId="2" applyNumberFormat="1" applyFont="1" applyBorder="1" applyAlignment="1">
      <alignment horizontal="center" vertical="center"/>
    </xf>
    <xf numFmtId="0" fontId="9" fillId="0" borderId="0" xfId="0" applyFont="1"/>
    <xf numFmtId="0" fontId="16" fillId="0" borderId="11" xfId="0" applyFont="1" applyBorder="1" applyAlignment="1">
      <alignment horizontal="centerContinuous"/>
    </xf>
    <xf numFmtId="166" fontId="16" fillId="0" borderId="2" xfId="0" applyNumberFormat="1" applyFont="1" applyBorder="1"/>
    <xf numFmtId="165" fontId="19" fillId="0" borderId="21" xfId="0" applyNumberFormat="1" applyFont="1" applyFill="1" applyBorder="1" applyProtection="1">
      <protection hidden="1"/>
    </xf>
    <xf numFmtId="165" fontId="17" fillId="0" borderId="3" xfId="0" applyNumberFormat="1" applyFont="1" applyFill="1" applyBorder="1" applyProtection="1">
      <protection locked="0"/>
    </xf>
    <xf numFmtId="166" fontId="2" fillId="0" borderId="0" xfId="0" applyNumberFormat="1" applyFont="1"/>
    <xf numFmtId="0" fontId="2" fillId="0" borderId="0" xfId="0" applyFont="1" applyBorder="1"/>
    <xf numFmtId="166" fontId="19" fillId="0" borderId="0" xfId="0" applyNumberFormat="1" applyFont="1" applyBorder="1"/>
    <xf numFmtId="0" fontId="12" fillId="0" borderId="0" xfId="0" applyFont="1" applyBorder="1"/>
    <xf numFmtId="0" fontId="22" fillId="0" borderId="0" xfId="0" applyFont="1" applyBorder="1"/>
    <xf numFmtId="166" fontId="16" fillId="0" borderId="0" xfId="0" applyNumberFormat="1" applyFont="1" applyBorder="1"/>
    <xf numFmtId="0" fontId="20" fillId="0" borderId="0" xfId="0" applyFont="1" applyBorder="1"/>
    <xf numFmtId="0" fontId="21" fillId="0" borderId="0" xfId="0" applyFont="1" applyBorder="1"/>
    <xf numFmtId="166" fontId="44" fillId="0" borderId="2" xfId="0" applyNumberFormat="1" applyFont="1" applyFill="1" applyBorder="1" applyProtection="1">
      <protection locked="0"/>
    </xf>
    <xf numFmtId="166" fontId="44" fillId="0" borderId="9" xfId="0" applyNumberFormat="1" applyFont="1" applyFill="1" applyBorder="1" applyProtection="1">
      <protection locked="0"/>
    </xf>
    <xf numFmtId="0" fontId="1" fillId="2" borderId="0" xfId="0" applyFont="1" applyFill="1"/>
    <xf numFmtId="0" fontId="1" fillId="0" borderId="0" xfId="0" applyFont="1"/>
    <xf numFmtId="0" fontId="1" fillId="3" borderId="0" xfId="0" applyFont="1" applyFill="1"/>
    <xf numFmtId="1" fontId="17" fillId="0" borderId="9" xfId="0" applyNumberFormat="1" applyFont="1" applyBorder="1" applyAlignment="1">
      <alignment horizontal="center"/>
    </xf>
    <xf numFmtId="1" fontId="20" fillId="0" borderId="9" xfId="0" applyNumberFormat="1" applyFont="1" applyBorder="1" applyAlignment="1">
      <alignment horizontal="center"/>
    </xf>
    <xf numFmtId="1" fontId="21" fillId="0" borderId="9" xfId="0" applyNumberFormat="1" applyFont="1" applyBorder="1" applyAlignment="1">
      <alignment horizontal="center"/>
    </xf>
    <xf numFmtId="1" fontId="22" fillId="0" borderId="9" xfId="0" applyNumberFormat="1" applyFont="1" applyBorder="1" applyAlignment="1">
      <alignment horizontal="center"/>
    </xf>
    <xf numFmtId="1" fontId="17" fillId="0" borderId="24" xfId="0" applyNumberFormat="1" applyFont="1" applyBorder="1" applyAlignment="1">
      <alignment horizontal="center"/>
    </xf>
    <xf numFmtId="1" fontId="22" fillId="0" borderId="19" xfId="0" applyNumberFormat="1" applyFont="1" applyBorder="1" applyAlignment="1">
      <alignment horizontal="center"/>
    </xf>
    <xf numFmtId="1" fontId="23" fillId="0" borderId="20" xfId="0" applyNumberFormat="1" applyFont="1" applyBorder="1" applyAlignment="1">
      <alignment horizontal="center"/>
    </xf>
    <xf numFmtId="1" fontId="17" fillId="0" borderId="10" xfId="0" applyNumberFormat="1" applyFont="1" applyBorder="1" applyAlignment="1">
      <alignment horizontal="center"/>
    </xf>
    <xf numFmtId="1" fontId="21" fillId="0" borderId="15" xfId="0" applyNumberFormat="1" applyFont="1" applyBorder="1" applyAlignment="1">
      <alignment horizontal="center"/>
    </xf>
    <xf numFmtId="1" fontId="21" fillId="0" borderId="10" xfId="0" applyNumberFormat="1" applyFont="1" applyBorder="1" applyAlignment="1">
      <alignment horizontal="center"/>
    </xf>
    <xf numFmtId="1" fontId="21" fillId="0" borderId="16" xfId="0" applyNumberFormat="1" applyFont="1" applyBorder="1" applyAlignment="1">
      <alignment horizontal="center"/>
    </xf>
    <xf numFmtId="1" fontId="19" fillId="0" borderId="8" xfId="0" applyNumberFormat="1" applyFont="1" applyBorder="1" applyAlignment="1">
      <alignment horizontal="center"/>
    </xf>
    <xf numFmtId="1" fontId="17" fillId="0" borderId="3" xfId="0" applyNumberFormat="1" applyFont="1" applyBorder="1" applyAlignment="1">
      <alignment horizontal="center"/>
    </xf>
    <xf numFmtId="1" fontId="21" fillId="0" borderId="17" xfId="0" applyNumberFormat="1" applyFont="1" applyBorder="1" applyAlignment="1">
      <alignment horizontal="center"/>
    </xf>
    <xf numFmtId="1" fontId="21" fillId="0" borderId="3" xfId="0" applyNumberFormat="1" applyFont="1" applyBorder="1" applyAlignment="1">
      <alignment horizontal="center"/>
    </xf>
    <xf numFmtId="1" fontId="21" fillId="0" borderId="18" xfId="0" applyNumberFormat="1" applyFont="1" applyBorder="1" applyAlignment="1">
      <alignment horizontal="center"/>
    </xf>
    <xf numFmtId="166" fontId="19" fillId="0" borderId="3" xfId="0" applyNumberFormat="1" applyFont="1" applyFill="1" applyBorder="1" applyProtection="1">
      <protection hidden="1"/>
    </xf>
    <xf numFmtId="166" fontId="16" fillId="0" borderId="4" xfId="0" applyNumberFormat="1" applyFont="1" applyFill="1" applyBorder="1" applyProtection="1"/>
    <xf numFmtId="166" fontId="19" fillId="0" borderId="7" xfId="0" applyNumberFormat="1" applyFont="1" applyFill="1" applyBorder="1" applyProtection="1">
      <protection hidden="1"/>
    </xf>
    <xf numFmtId="0" fontId="1" fillId="0" borderId="0" xfId="0" applyFont="1" applyFill="1"/>
    <xf numFmtId="0" fontId="1" fillId="2" borderId="1" xfId="0" applyFont="1" applyFill="1" applyBorder="1"/>
    <xf numFmtId="0" fontId="32" fillId="0" borderId="9" xfId="0" applyFont="1" applyBorder="1" applyAlignment="1"/>
    <xf numFmtId="0" fontId="32" fillId="0" borderId="2" xfId="0" applyFont="1" applyBorder="1" applyAlignment="1"/>
    <xf numFmtId="0" fontId="32" fillId="0" borderId="0" xfId="0" applyFont="1"/>
    <xf numFmtId="166" fontId="1" fillId="0" borderId="0" xfId="0" applyNumberFormat="1" applyFont="1"/>
    <xf numFmtId="0" fontId="9" fillId="0" borderId="0" xfId="2" applyFont="1" applyFill="1" applyBorder="1"/>
    <xf numFmtId="0" fontId="45" fillId="0" borderId="0" xfId="4" applyFont="1" applyBorder="1" applyAlignment="1">
      <alignment horizontal="centerContinuous" wrapText="1"/>
    </xf>
    <xf numFmtId="0" fontId="46" fillId="0" borderId="0" xfId="4" applyFont="1" applyBorder="1" applyAlignment="1">
      <alignment horizontal="centerContinuous" wrapText="1"/>
    </xf>
    <xf numFmtId="0" fontId="1" fillId="0" borderId="0" xfId="4" applyAlignment="1">
      <alignment horizontal="centerContinuous" wrapText="1"/>
    </xf>
    <xf numFmtId="0" fontId="1" fillId="0" borderId="0" xfId="4" applyAlignment="1">
      <alignment wrapText="1"/>
    </xf>
    <xf numFmtId="0" fontId="1" fillId="0" borderId="0" xfId="4"/>
    <xf numFmtId="0" fontId="1" fillId="0" borderId="0" xfId="4" applyBorder="1" applyAlignment="1">
      <alignment wrapText="1"/>
    </xf>
    <xf numFmtId="0" fontId="1" fillId="0" borderId="0" xfId="4" applyBorder="1"/>
    <xf numFmtId="0" fontId="1" fillId="0" borderId="0" xfId="4" applyBorder="1" applyAlignment="1">
      <alignment horizontal="center" vertical="center"/>
    </xf>
    <xf numFmtId="0" fontId="47" fillId="0" borderId="0" xfId="4" applyFont="1" applyBorder="1" applyAlignment="1">
      <alignment horizontal="center" vertical="center"/>
    </xf>
    <xf numFmtId="0" fontId="47" fillId="0" borderId="29" xfId="4" applyFont="1" applyBorder="1" applyAlignment="1">
      <alignment horizontal="center" vertical="center"/>
    </xf>
    <xf numFmtId="0" fontId="48" fillId="0" borderId="30" xfId="4" applyFont="1" applyBorder="1" applyAlignment="1">
      <alignment horizontal="center" vertical="center"/>
    </xf>
    <xf numFmtId="0" fontId="47" fillId="0" borderId="30" xfId="4" applyFont="1" applyBorder="1" applyAlignment="1">
      <alignment horizontal="center" vertical="center"/>
    </xf>
    <xf numFmtId="0" fontId="49" fillId="0" borderId="30" xfId="4" applyFont="1" applyBorder="1" applyAlignment="1">
      <alignment horizontal="center" vertical="center"/>
    </xf>
    <xf numFmtId="0" fontId="50" fillId="0" borderId="30" xfId="4" applyFont="1" applyBorder="1" applyAlignment="1">
      <alignment horizontal="center" vertical="center"/>
    </xf>
    <xf numFmtId="0" fontId="50" fillId="0" borderId="31" xfId="4" applyFont="1" applyBorder="1" applyAlignment="1">
      <alignment horizontal="center" vertical="center"/>
    </xf>
    <xf numFmtId="0" fontId="49" fillId="0" borderId="0" xfId="4" applyFont="1" applyBorder="1" applyAlignment="1">
      <alignment horizontal="center" vertical="center"/>
    </xf>
    <xf numFmtId="0" fontId="1" fillId="0" borderId="0" xfId="4" applyAlignment="1">
      <alignment horizontal="center" vertical="center"/>
    </xf>
    <xf numFmtId="0" fontId="47" fillId="0" borderId="0" xfId="4" applyFont="1" applyBorder="1"/>
    <xf numFmtId="0" fontId="47" fillId="0" borderId="0" xfId="4" applyFont="1"/>
    <xf numFmtId="166" fontId="17" fillId="0" borderId="9" xfId="0" applyNumberFormat="1" applyFont="1" applyBorder="1" applyProtection="1">
      <protection locked="0"/>
    </xf>
    <xf numFmtId="166" fontId="10" fillId="0" borderId="0" xfId="0" applyNumberFormat="1" applyFont="1"/>
    <xf numFmtId="166" fontId="20" fillId="0" borderId="0" xfId="0" applyNumberFormat="1" applyFont="1" applyBorder="1"/>
    <xf numFmtId="166" fontId="0" fillId="0" borderId="0" xfId="0" applyNumberFormat="1"/>
    <xf numFmtId="166" fontId="3" fillId="0" borderId="0" xfId="0" applyNumberFormat="1" applyFont="1"/>
    <xf numFmtId="166" fontId="12" fillId="0" borderId="0" xfId="0" applyNumberFormat="1" applyFont="1"/>
    <xf numFmtId="166" fontId="11" fillId="0" borderId="0" xfId="0" applyNumberFormat="1" applyFont="1"/>
    <xf numFmtId="166" fontId="6" fillId="0" borderId="0" xfId="0" applyNumberFormat="1" applyFont="1"/>
    <xf numFmtId="166" fontId="13" fillId="0" borderId="0" xfId="0" applyNumberFormat="1" applyFont="1"/>
    <xf numFmtId="166" fontId="4" fillId="0" borderId="0" xfId="0" applyNumberFormat="1" applyFont="1"/>
    <xf numFmtId="1" fontId="20" fillId="0" borderId="3" xfId="0" applyNumberFormat="1" applyFont="1" applyFill="1" applyBorder="1" applyAlignment="1">
      <alignment horizontal="center"/>
    </xf>
    <xf numFmtId="166" fontId="22" fillId="0" borderId="0" xfId="0" applyNumberFormat="1" applyFont="1"/>
    <xf numFmtId="0" fontId="1" fillId="2" borderId="0" xfId="0" applyFont="1" applyFill="1" applyBorder="1"/>
    <xf numFmtId="1" fontId="17" fillId="0" borderId="9" xfId="0" applyNumberFormat="1" applyFont="1" applyFill="1" applyBorder="1" applyAlignment="1">
      <alignment horizontal="center"/>
    </xf>
    <xf numFmtId="1" fontId="22" fillId="0" borderId="9" xfId="0" applyNumberFormat="1" applyFont="1" applyFill="1" applyBorder="1" applyAlignment="1">
      <alignment horizontal="center"/>
    </xf>
    <xf numFmtId="1" fontId="17" fillId="0" borderId="10" xfId="0" applyNumberFormat="1" applyFont="1" applyFill="1" applyBorder="1" applyAlignment="1">
      <alignment horizontal="center"/>
    </xf>
    <xf numFmtId="1" fontId="17" fillId="0" borderId="3" xfId="0" applyNumberFormat="1" applyFont="1" applyFill="1" applyBorder="1" applyAlignment="1">
      <alignment horizontal="center"/>
    </xf>
    <xf numFmtId="1" fontId="22" fillId="0" borderId="3" xfId="0" applyNumberFormat="1" applyFont="1" applyFill="1" applyBorder="1" applyAlignment="1">
      <alignment horizontal="center"/>
    </xf>
    <xf numFmtId="166" fontId="5" fillId="0" borderId="0" xfId="0" applyNumberFormat="1" applyFont="1"/>
    <xf numFmtId="166" fontId="14" fillId="0" borderId="0" xfId="0" applyNumberFormat="1" applyFont="1"/>
    <xf numFmtId="167" fontId="1" fillId="0" borderId="0" xfId="0" applyNumberFormat="1" applyFont="1"/>
  </cellXfs>
  <cellStyles count="6">
    <cellStyle name="Normal" xfId="0" builtinId="0"/>
    <cellStyle name="Normal 2" xfId="3" xr:uid="{00000000-0005-0000-0000-000001000000}"/>
    <cellStyle name="Normal 2 2" xfId="5" xr:uid="{00000000-0005-0000-0000-000002000000}"/>
    <cellStyle name="Normal 3" xfId="4" xr:uid="{00000000-0005-0000-0000-000003000000}"/>
    <cellStyle name="Normal_Compound  &amp; Feedstuffs in NI" xfId="1" xr:uid="{00000000-0005-0000-0000-000004000000}"/>
    <cellStyle name="Normal_Data" xfId="2"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Total Compounds and Processed Feeds</a:t>
            </a:r>
          </a:p>
        </c:rich>
      </c:tx>
      <c:layout>
        <c:manualLayout>
          <c:xMode val="edge"/>
          <c:yMode val="edge"/>
          <c:x val="0.30877201799277243"/>
          <c:y val="2.0057376745280006E-2"/>
        </c:manualLayout>
      </c:layout>
      <c:overlay val="0"/>
      <c:spPr>
        <a:noFill/>
        <a:ln w="25400">
          <a:noFill/>
        </a:ln>
      </c:spPr>
    </c:title>
    <c:autoTitleDeleted val="0"/>
    <c:plotArea>
      <c:layout>
        <c:manualLayout>
          <c:layoutTarget val="inner"/>
          <c:xMode val="edge"/>
          <c:yMode val="edge"/>
          <c:x val="9.239768720237318E-2"/>
          <c:y val="9.7421544191356541E-2"/>
          <c:w val="0.87953241488841361"/>
          <c:h val="0.76504565585565365"/>
        </c:manualLayout>
      </c:layout>
      <c:lineChart>
        <c:grouping val="standard"/>
        <c:varyColors val="0"/>
        <c:ser>
          <c:idx val="0"/>
          <c:order val="0"/>
          <c:tx>
            <c:v>2019</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256.54757551201681</c:v>
              </c:pt>
              <c:pt idx="1">
                <c:v>214.87338000000003</c:v>
              </c:pt>
              <c:pt idx="2">
                <c:v>227.53040940000002</c:v>
              </c:pt>
              <c:pt idx="3">
                <c:v>215.66788600000007</c:v>
              </c:pt>
              <c:pt idx="4">
                <c:v>188.05936100000014</c:v>
              </c:pt>
              <c:pt idx="5">
                <c:v>179.14748900000004</c:v>
              </c:pt>
              <c:pt idx="6">
                <c:v>207.96473700000007</c:v>
              </c:pt>
              <c:pt idx="7">
                <c:v>170.36272300000005</c:v>
              </c:pt>
              <c:pt idx="8">
                <c:v>182.45317600000004</c:v>
              </c:pt>
              <c:pt idx="9">
                <c:v>231.02398800000003</c:v>
              </c:pt>
              <c:pt idx="10">
                <c:v>212.74777699999999</c:v>
              </c:pt>
              <c:pt idx="11">
                <c:v>234.18800200000001</c:v>
              </c:pt>
            </c:numLit>
          </c:val>
          <c:smooth val="0"/>
          <c:extLst>
            <c:ext xmlns:c16="http://schemas.microsoft.com/office/drawing/2014/chart" uri="{C3380CC4-5D6E-409C-BE32-E72D297353CC}">
              <c16:uniqueId val="{00000000-2164-435B-B7D6-501CB73C9853}"/>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222.17470751201665</c:v>
              </c:pt>
              <c:pt idx="1">
                <c:v>222.82816589999999</c:v>
              </c:pt>
              <c:pt idx="2">
                <c:v>261.60306099999997</c:v>
              </c:pt>
              <c:pt idx="3">
                <c:v>221.45735600000003</c:v>
              </c:pt>
              <c:pt idx="4">
                <c:v>195.72304300000002</c:v>
              </c:pt>
              <c:pt idx="5">
                <c:v>206.84783899999999</c:v>
              </c:pt>
              <c:pt idx="6">
                <c:v>188.188129</c:v>
              </c:pt>
              <c:pt idx="7">
                <c:v>192.51714800000002</c:v>
              </c:pt>
              <c:pt idx="8">
                <c:v>220.34372599999998</c:v>
              </c:pt>
              <c:pt idx="9">
                <c:v>206.24426600000001</c:v>
              </c:pt>
              <c:pt idx="10">
                <c:v>228.72033953357317</c:v>
              </c:pt>
              <c:pt idx="11">
                <c:v>260.22859646642684</c:v>
              </c:pt>
            </c:numLit>
          </c:val>
          <c:smooth val="0"/>
          <c:extLst>
            <c:ext xmlns:c16="http://schemas.microsoft.com/office/drawing/2014/chart" uri="{C3380CC4-5D6E-409C-BE32-E72D297353CC}">
              <c16:uniqueId val="{00000001-2164-435B-B7D6-501CB73C9853}"/>
            </c:ext>
          </c:extLst>
        </c:ser>
        <c:dLbls>
          <c:showLegendKey val="0"/>
          <c:showVal val="0"/>
          <c:showCatName val="0"/>
          <c:showSerName val="0"/>
          <c:showPercent val="0"/>
          <c:showBubbleSize val="0"/>
        </c:dLbls>
        <c:smooth val="0"/>
        <c:axId val="357642448"/>
        <c:axId val="357643624"/>
      </c:lineChart>
      <c:catAx>
        <c:axId val="357642448"/>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7643624"/>
        <c:crossesAt val="120"/>
        <c:auto val="0"/>
        <c:lblAlgn val="ctr"/>
        <c:lblOffset val="100"/>
        <c:tickLblSkip val="1"/>
        <c:tickMarkSkip val="1"/>
        <c:noMultiLvlLbl val="0"/>
      </c:catAx>
      <c:valAx>
        <c:axId val="357643624"/>
        <c:scaling>
          <c:orientation val="minMax"/>
          <c:max val="300"/>
          <c:min val="130"/>
        </c:scaling>
        <c:delete val="0"/>
        <c:axPos val="l"/>
        <c:majorGridlines>
          <c:spPr>
            <a:ln w="3175">
              <a:solidFill>
                <a:schemeClr val="bg1"/>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a:t>thousand tonnes</a:t>
                </a:r>
              </a:p>
            </c:rich>
          </c:tx>
          <c:layout>
            <c:manualLayout>
              <c:xMode val="edge"/>
              <c:yMode val="edge"/>
              <c:x val="9.3567278179631994E-3"/>
              <c:y val="0.2808032744339100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764244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Dairy Cow Feeds</a:t>
            </a:r>
          </a:p>
        </c:rich>
      </c:tx>
      <c:layout>
        <c:manualLayout>
          <c:xMode val="edge"/>
          <c:yMode val="edge"/>
          <c:x val="0.36986383834511088"/>
          <c:y val="2.6315898163568472E-2"/>
        </c:manualLayout>
      </c:layout>
      <c:overlay val="0"/>
      <c:spPr>
        <a:noFill/>
        <a:ln w="25400">
          <a:noFill/>
        </a:ln>
      </c:spPr>
    </c:title>
    <c:autoTitleDeleted val="0"/>
    <c:plotArea>
      <c:layout>
        <c:manualLayout>
          <c:layoutTarget val="inner"/>
          <c:xMode val="edge"/>
          <c:yMode val="edge"/>
          <c:x val="0.15525148770043068"/>
          <c:y val="0.13533890484120994"/>
          <c:w val="0.79908853963450865"/>
          <c:h val="0.63534096994901024"/>
        </c:manualLayout>
      </c:layout>
      <c:lineChart>
        <c:grouping val="standard"/>
        <c:varyColors val="0"/>
        <c:ser>
          <c:idx val="0"/>
          <c:order val="0"/>
          <c:tx>
            <c:v>2019</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80.565508972176588</c:v>
              </c:pt>
              <c:pt idx="1">
                <c:v>67.597537000000017</c:v>
              </c:pt>
              <c:pt idx="2">
                <c:v>74.25568899999999</c:v>
              </c:pt>
              <c:pt idx="3">
                <c:v>75.039751999999993</c:v>
              </c:pt>
              <c:pt idx="4">
                <c:v>62.046385999999984</c:v>
              </c:pt>
              <c:pt idx="5">
                <c:v>60.038815999999954</c:v>
              </c:pt>
              <c:pt idx="6">
                <c:v>69.66365399999998</c:v>
              </c:pt>
              <c:pt idx="7">
                <c:v>53.881426999999995</c:v>
              </c:pt>
              <c:pt idx="8">
                <c:v>57.621787999999988</c:v>
              </c:pt>
              <c:pt idx="9">
                <c:v>71.610627000000008</c:v>
              </c:pt>
              <c:pt idx="10">
                <c:v>69.500582999999978</c:v>
              </c:pt>
              <c:pt idx="11">
                <c:v>76.360038999999986</c:v>
              </c:pt>
            </c:numLit>
          </c:val>
          <c:smooth val="0"/>
          <c:extLst>
            <c:ext xmlns:c16="http://schemas.microsoft.com/office/drawing/2014/chart" uri="{C3380CC4-5D6E-409C-BE32-E72D297353CC}">
              <c16:uniqueId val="{00000000-786E-485E-A483-2D453BDCB76B}"/>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71.740922972176605</c:v>
              </c:pt>
              <c:pt idx="1">
                <c:v>73.339438000000001</c:v>
              </c:pt>
              <c:pt idx="2">
                <c:v>88.670738999999998</c:v>
              </c:pt>
              <c:pt idx="3">
                <c:v>75.090741999999992</c:v>
              </c:pt>
              <c:pt idx="4">
                <c:v>65.47484</c:v>
              </c:pt>
              <c:pt idx="5">
                <c:v>69.862927999999997</c:v>
              </c:pt>
              <c:pt idx="6">
                <c:v>60.486373</c:v>
              </c:pt>
              <c:pt idx="7">
                <c:v>59.098314999999992</c:v>
              </c:pt>
              <c:pt idx="8">
                <c:v>66.570774999999998</c:v>
              </c:pt>
              <c:pt idx="9">
                <c:v>60.481542000000005</c:v>
              </c:pt>
              <c:pt idx="10">
                <c:v>73.909437999999994</c:v>
              </c:pt>
              <c:pt idx="11">
                <c:v>86.271258000000003</c:v>
              </c:pt>
            </c:numLit>
          </c:val>
          <c:smooth val="0"/>
          <c:extLst>
            <c:ext xmlns:c16="http://schemas.microsoft.com/office/drawing/2014/chart" uri="{C3380CC4-5D6E-409C-BE32-E72D297353CC}">
              <c16:uniqueId val="{00000001-786E-485E-A483-2D453BDCB76B}"/>
            </c:ext>
          </c:extLst>
        </c:ser>
        <c:dLbls>
          <c:showLegendKey val="0"/>
          <c:showVal val="0"/>
          <c:showCatName val="0"/>
          <c:showSerName val="0"/>
          <c:showPercent val="0"/>
          <c:showBubbleSize val="0"/>
        </c:dLbls>
        <c:smooth val="0"/>
        <c:axId val="357644016"/>
        <c:axId val="357644408"/>
      </c:lineChart>
      <c:catAx>
        <c:axId val="357644016"/>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7644408"/>
        <c:crossesAt val="20"/>
        <c:auto val="0"/>
        <c:lblAlgn val="ctr"/>
        <c:lblOffset val="100"/>
        <c:tickLblSkip val="1"/>
        <c:tickMarkSkip val="1"/>
        <c:noMultiLvlLbl val="0"/>
      </c:catAx>
      <c:valAx>
        <c:axId val="357644408"/>
        <c:scaling>
          <c:orientation val="minMax"/>
          <c:max val="100"/>
          <c:min val="30"/>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5.022842249131014E-2"/>
              <c:y val="0.221805427378648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764401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Pig Feed</a:t>
            </a:r>
          </a:p>
        </c:rich>
      </c:tx>
      <c:layout>
        <c:manualLayout>
          <c:xMode val="edge"/>
          <c:yMode val="edge"/>
          <c:x val="0.46555873473539411"/>
          <c:y val="2.5547559072938663E-2"/>
        </c:manualLayout>
      </c:layout>
      <c:overlay val="0"/>
      <c:spPr>
        <a:noFill/>
        <a:ln w="25400">
          <a:noFill/>
        </a:ln>
      </c:spPr>
    </c:title>
    <c:autoTitleDeleted val="0"/>
    <c:plotArea>
      <c:layout>
        <c:manualLayout>
          <c:layoutTarget val="inner"/>
          <c:xMode val="edge"/>
          <c:yMode val="edge"/>
          <c:x val="0.15201917868910841"/>
          <c:y val="0.13868674925309565"/>
          <c:w val="0.80047598778483586"/>
          <c:h val="0.58029455608532121"/>
        </c:manualLayout>
      </c:layout>
      <c:lineChart>
        <c:grouping val="standard"/>
        <c:varyColors val="0"/>
        <c:ser>
          <c:idx val="0"/>
          <c:order val="0"/>
          <c:tx>
            <c:v>2019</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24.988913723225988</c:v>
              </c:pt>
              <c:pt idx="1">
                <c:v>21.072271000000008</c:v>
              </c:pt>
              <c:pt idx="2">
                <c:v>20.392821999999995</c:v>
              </c:pt>
              <c:pt idx="3">
                <c:v>21.237790000000004</c:v>
              </c:pt>
              <c:pt idx="4">
                <c:v>22.218910999999999</c:v>
              </c:pt>
              <c:pt idx="5">
                <c:v>19.091794999999994</c:v>
              </c:pt>
              <c:pt idx="6">
                <c:v>21.015801000000007</c:v>
              </c:pt>
              <c:pt idx="7">
                <c:v>17.471133999999999</c:v>
              </c:pt>
              <c:pt idx="8">
                <c:v>18.460468000000002</c:v>
              </c:pt>
              <c:pt idx="9">
                <c:v>23.819684000000006</c:v>
              </c:pt>
              <c:pt idx="10">
                <c:v>19.686722999999997</c:v>
              </c:pt>
              <c:pt idx="11">
                <c:v>21.611114000000001</c:v>
              </c:pt>
            </c:numLit>
          </c:val>
          <c:smooth val="0"/>
          <c:extLst>
            <c:ext xmlns:c16="http://schemas.microsoft.com/office/drawing/2014/chart" uri="{C3380CC4-5D6E-409C-BE32-E72D297353CC}">
              <c16:uniqueId val="{00000000-D649-4F5D-AAAE-496D0FD79BFF}"/>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20.203099723225993</c:v>
              </c:pt>
              <c:pt idx="1">
                <c:v>20.397682</c:v>
              </c:pt>
              <c:pt idx="2">
                <c:v>25.92802</c:v>
              </c:pt>
              <c:pt idx="3">
                <c:v>20.880449999999996</c:v>
              </c:pt>
              <c:pt idx="4">
                <c:v>18.982762999999998</c:v>
              </c:pt>
              <c:pt idx="5">
                <c:v>21.143015999999999</c:v>
              </c:pt>
              <c:pt idx="6">
                <c:v>19.283287999999999</c:v>
              </c:pt>
              <c:pt idx="7">
                <c:v>20.863997999999999</c:v>
              </c:pt>
              <c:pt idx="8">
                <c:v>22.241392000000001</c:v>
              </c:pt>
              <c:pt idx="9">
                <c:v>21.506016000000002</c:v>
              </c:pt>
              <c:pt idx="10">
                <c:v>23.212837</c:v>
              </c:pt>
              <c:pt idx="11">
                <c:v>24.220033999999998</c:v>
              </c:pt>
            </c:numLit>
          </c:val>
          <c:smooth val="0"/>
          <c:extLst>
            <c:ext xmlns:c16="http://schemas.microsoft.com/office/drawing/2014/chart" uri="{C3380CC4-5D6E-409C-BE32-E72D297353CC}">
              <c16:uniqueId val="{00000001-D649-4F5D-AAAE-496D0FD79BFF}"/>
            </c:ext>
          </c:extLst>
        </c:ser>
        <c:dLbls>
          <c:showLegendKey val="0"/>
          <c:showVal val="0"/>
          <c:showCatName val="0"/>
          <c:showSerName val="0"/>
          <c:showPercent val="0"/>
          <c:showBubbleSize val="0"/>
        </c:dLbls>
        <c:smooth val="0"/>
        <c:axId val="361167944"/>
        <c:axId val="361165984"/>
      </c:lineChart>
      <c:catAx>
        <c:axId val="361167944"/>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65984"/>
        <c:crossesAt val="6"/>
        <c:auto val="0"/>
        <c:lblAlgn val="ctr"/>
        <c:lblOffset val="100"/>
        <c:tickLblSkip val="1"/>
        <c:tickMarkSkip val="1"/>
        <c:noMultiLvlLbl val="0"/>
      </c:catAx>
      <c:valAx>
        <c:axId val="361165984"/>
        <c:scaling>
          <c:orientation val="minMax"/>
          <c:max val="30"/>
          <c:min val="14"/>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3.5629495005259811E-2"/>
              <c:y val="0.2299280316564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67944"/>
        <c:crosses val="autoZero"/>
        <c:crossBetween val="midCat"/>
        <c:majorUnit val="4"/>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Poultry Feed</a:t>
            </a:r>
          </a:p>
        </c:rich>
      </c:tx>
      <c:layout>
        <c:manualLayout>
          <c:xMode val="edge"/>
          <c:yMode val="edge"/>
          <c:x val="0.39622755584013131"/>
          <c:y val="2.7131885643341402E-2"/>
        </c:manualLayout>
      </c:layout>
      <c:overlay val="0"/>
      <c:spPr>
        <a:noFill/>
        <a:ln w="25400">
          <a:noFill/>
        </a:ln>
      </c:spPr>
    </c:title>
    <c:autoTitleDeleted val="0"/>
    <c:plotArea>
      <c:layout>
        <c:manualLayout>
          <c:layoutTarget val="inner"/>
          <c:xMode val="edge"/>
          <c:yMode val="edge"/>
          <c:x val="0.12264186252194539"/>
          <c:y val="0.13953541188005084"/>
          <c:w val="0.8066060958174095"/>
          <c:h val="0.635661320786855"/>
        </c:manualLayout>
      </c:layout>
      <c:lineChart>
        <c:grouping val="standard"/>
        <c:varyColors val="0"/>
        <c:ser>
          <c:idx val="0"/>
          <c:order val="0"/>
          <c:tx>
            <c:v>2019</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80.140421000000174</c:v>
              </c:pt>
              <c:pt idx="1">
                <c:v>64.582344000000049</c:v>
              </c:pt>
              <c:pt idx="2">
                <c:v>68.544771000000054</c:v>
              </c:pt>
              <c:pt idx="3">
                <c:v>72.359053000000074</c:v>
              </c:pt>
              <c:pt idx="4">
                <c:v>69.269299000000132</c:v>
              </c:pt>
              <c:pt idx="5">
                <c:v>64.089208000000099</c:v>
              </c:pt>
              <c:pt idx="6">
                <c:v>76.798485000000085</c:v>
              </c:pt>
              <c:pt idx="7">
                <c:v>62.106095000000074</c:v>
              </c:pt>
              <c:pt idx="8">
                <c:v>62.401826000000021</c:v>
              </c:pt>
              <c:pt idx="9">
                <c:v>76.234284999999986</c:v>
              </c:pt>
              <c:pt idx="10">
                <c:v>61.769955999999986</c:v>
              </c:pt>
              <c:pt idx="11">
                <c:v>69.708602999999982</c:v>
              </c:pt>
            </c:numLit>
          </c:val>
          <c:smooth val="0"/>
          <c:extLst>
            <c:ext xmlns:c16="http://schemas.microsoft.com/office/drawing/2014/chart" uri="{C3380CC4-5D6E-409C-BE32-E72D297353CC}">
              <c16:uniqueId val="{00000000-4F78-4F03-A9B2-3C7D6C71930D}"/>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64.091633999999985</c:v>
              </c:pt>
              <c:pt idx="1">
                <c:v>62.394992999999999</c:v>
              </c:pt>
              <c:pt idx="2">
                <c:v>74.735636999999997</c:v>
              </c:pt>
              <c:pt idx="3">
                <c:v>70.304502999999997</c:v>
              </c:pt>
              <c:pt idx="4">
                <c:v>69.028797999999995</c:v>
              </c:pt>
              <c:pt idx="5">
                <c:v>75.053798</c:v>
              </c:pt>
              <c:pt idx="6">
                <c:v>70.98975200000001</c:v>
              </c:pt>
              <c:pt idx="7">
                <c:v>70.851089000000002</c:v>
              </c:pt>
              <c:pt idx="8">
                <c:v>83.662731999999991</c:v>
              </c:pt>
              <c:pt idx="9">
                <c:v>73.537033999999991</c:v>
              </c:pt>
              <c:pt idx="10">
                <c:v>72.060374533573167</c:v>
              </c:pt>
              <c:pt idx="11">
                <c:v>80.268119466426853</c:v>
              </c:pt>
            </c:numLit>
          </c:val>
          <c:smooth val="0"/>
          <c:extLst>
            <c:ext xmlns:c16="http://schemas.microsoft.com/office/drawing/2014/chart" uri="{C3380CC4-5D6E-409C-BE32-E72D297353CC}">
              <c16:uniqueId val="{00000001-4F78-4F03-A9B2-3C7D6C71930D}"/>
            </c:ext>
          </c:extLst>
        </c:ser>
        <c:dLbls>
          <c:showLegendKey val="0"/>
          <c:showVal val="0"/>
          <c:showCatName val="0"/>
          <c:showSerName val="0"/>
          <c:showPercent val="0"/>
          <c:showBubbleSize val="0"/>
        </c:dLbls>
        <c:smooth val="0"/>
        <c:axId val="361164808"/>
        <c:axId val="361165200"/>
      </c:lineChart>
      <c:catAx>
        <c:axId val="361164808"/>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65200"/>
        <c:crossesAt val="44"/>
        <c:auto val="0"/>
        <c:lblAlgn val="ctr"/>
        <c:lblOffset val="100"/>
        <c:tickLblSkip val="1"/>
        <c:tickMarkSkip val="1"/>
        <c:noMultiLvlLbl val="0"/>
      </c:catAx>
      <c:valAx>
        <c:axId val="361165200"/>
        <c:scaling>
          <c:orientation val="minMax"/>
          <c:min val="46"/>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1.8867978849531387E-2"/>
              <c:y val="0.251938938116741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648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Sheep Feed</a:t>
            </a:r>
          </a:p>
        </c:rich>
      </c:tx>
      <c:layout>
        <c:manualLayout>
          <c:xMode val="edge"/>
          <c:yMode val="edge"/>
          <c:x val="0.42576453257560837"/>
          <c:y val="2.6820098985172812E-2"/>
        </c:manualLayout>
      </c:layout>
      <c:overlay val="0"/>
      <c:spPr>
        <a:noFill/>
        <a:ln w="25400">
          <a:noFill/>
        </a:ln>
      </c:spPr>
    </c:title>
    <c:autoTitleDeleted val="0"/>
    <c:plotArea>
      <c:layout>
        <c:manualLayout>
          <c:layoutTarget val="inner"/>
          <c:xMode val="edge"/>
          <c:yMode val="edge"/>
          <c:x val="0.1659389973115192"/>
          <c:y val="0.25670666171522588"/>
          <c:w val="0.78602682937035351"/>
          <c:h val="0.60153650581025475"/>
        </c:manualLayout>
      </c:layout>
      <c:lineChart>
        <c:grouping val="standard"/>
        <c:varyColors val="0"/>
        <c:ser>
          <c:idx val="0"/>
          <c:order val="0"/>
          <c:tx>
            <c:v>2019</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7.6927399586803951</c:v>
              </c:pt>
              <c:pt idx="1">
                <c:v>9.5579160000000005</c:v>
              </c:pt>
              <c:pt idx="2">
                <c:v>11.126584999999999</c:v>
              </c:pt>
              <c:pt idx="3">
                <c:v>5.6099389999999989</c:v>
              </c:pt>
              <c:pt idx="4">
                <c:v>3.6808649999999994</c:v>
              </c:pt>
              <c:pt idx="5">
                <c:v>3.1364319999999992</c:v>
              </c:pt>
              <c:pt idx="6">
                <c:v>3.3752520000000001</c:v>
              </c:pt>
              <c:pt idx="7">
                <c:v>2.6786210000000001</c:v>
              </c:pt>
              <c:pt idx="8">
                <c:v>2.61775</c:v>
              </c:pt>
              <c:pt idx="9">
                <c:v>3.2254220000000005</c:v>
              </c:pt>
              <c:pt idx="10">
                <c:v>3.5170149999999998</c:v>
              </c:pt>
              <c:pt idx="11">
                <c:v>4.6634220000000006</c:v>
              </c:pt>
            </c:numLit>
          </c:val>
          <c:smooth val="0"/>
          <c:extLst>
            <c:ext xmlns:c16="http://schemas.microsoft.com/office/drawing/2014/chart" uri="{C3380CC4-5D6E-409C-BE32-E72D297353CC}">
              <c16:uniqueId val="{00000000-BBA7-4C19-9126-1ACB2BEEBA90}"/>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9.5370199586803945</c:v>
              </c:pt>
              <c:pt idx="1">
                <c:v>10.200666</c:v>
              </c:pt>
              <c:pt idx="2">
                <c:v>12.390706999999999</c:v>
              </c:pt>
              <c:pt idx="3">
                <c:v>6.7557339999999995</c:v>
              </c:pt>
              <c:pt idx="4">
                <c:v>4.396496</c:v>
              </c:pt>
              <c:pt idx="5">
                <c:v>3.871016</c:v>
              </c:pt>
              <c:pt idx="6">
                <c:v>3.2540649999999998</c:v>
              </c:pt>
              <c:pt idx="7">
                <c:v>3.3261430000000005</c:v>
              </c:pt>
              <c:pt idx="8">
                <c:v>3.0012970000000001</c:v>
              </c:pt>
              <c:pt idx="9">
                <c:v>2.7312189999999994</c:v>
              </c:pt>
              <c:pt idx="10">
                <c:v>3.4100980000000001</c:v>
              </c:pt>
              <c:pt idx="11">
                <c:v>5.2896049999999999</c:v>
              </c:pt>
            </c:numLit>
          </c:val>
          <c:smooth val="0"/>
          <c:extLst>
            <c:ext xmlns:c16="http://schemas.microsoft.com/office/drawing/2014/chart" uri="{C3380CC4-5D6E-409C-BE32-E72D297353CC}">
              <c16:uniqueId val="{00000001-BBA7-4C19-9126-1ACB2BEEBA90}"/>
            </c:ext>
          </c:extLst>
        </c:ser>
        <c:dLbls>
          <c:showLegendKey val="0"/>
          <c:showVal val="0"/>
          <c:showCatName val="0"/>
          <c:showSerName val="0"/>
          <c:showPercent val="0"/>
          <c:showBubbleSize val="0"/>
        </c:dLbls>
        <c:smooth val="0"/>
        <c:axId val="361166768"/>
        <c:axId val="361171864"/>
      </c:lineChart>
      <c:catAx>
        <c:axId val="361166768"/>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71864"/>
        <c:crosses val="autoZero"/>
        <c:auto val="0"/>
        <c:lblAlgn val="ctr"/>
        <c:lblOffset val="100"/>
        <c:tickLblSkip val="1"/>
        <c:tickMarkSkip val="1"/>
        <c:noMultiLvlLbl val="0"/>
      </c:catAx>
      <c:valAx>
        <c:axId val="361171864"/>
        <c:scaling>
          <c:orientation val="minMax"/>
          <c:max val="20"/>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8.0897879718218227E-2"/>
              <c:y val="0.34246553288645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6676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All Other Cattle and Calf Feed</a:t>
            </a:r>
          </a:p>
        </c:rich>
      </c:tx>
      <c:layout>
        <c:manualLayout>
          <c:xMode val="edge"/>
          <c:yMode val="edge"/>
          <c:x val="0.28730512249443207"/>
          <c:y val="2.4647887323944052E-2"/>
        </c:manualLayout>
      </c:layout>
      <c:overlay val="0"/>
      <c:spPr>
        <a:noFill/>
        <a:ln w="25400">
          <a:noFill/>
        </a:ln>
      </c:spPr>
    </c:title>
    <c:autoTitleDeleted val="0"/>
    <c:plotArea>
      <c:layout>
        <c:manualLayout>
          <c:layoutTarget val="inner"/>
          <c:xMode val="edge"/>
          <c:yMode val="edge"/>
          <c:x val="0.11581291759464943"/>
          <c:y val="0.15845070422535221"/>
          <c:w val="0.77951002227171495"/>
          <c:h val="0.56338028169014087"/>
        </c:manualLayout>
      </c:layout>
      <c:lineChart>
        <c:grouping val="standard"/>
        <c:varyColors val="0"/>
        <c:ser>
          <c:idx val="0"/>
          <c:order val="0"/>
          <c:tx>
            <c:v>2019</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53.603798898931551</c:v>
              </c:pt>
              <c:pt idx="1">
                <c:v>44.100836999999991</c:v>
              </c:pt>
              <c:pt idx="2">
                <c:v>44.515040999999989</c:v>
              </c:pt>
              <c:pt idx="3">
                <c:v>35.164977</c:v>
              </c:pt>
              <c:pt idx="4">
                <c:v>25.979994000000001</c:v>
              </c:pt>
              <c:pt idx="5">
                <c:v>26.326964000000004</c:v>
              </c:pt>
              <c:pt idx="6">
                <c:v>31.116683999999999</c:v>
              </c:pt>
              <c:pt idx="7">
                <c:v>28.510421999999998</c:v>
              </c:pt>
              <c:pt idx="8">
                <c:v>35.022067</c:v>
              </c:pt>
              <c:pt idx="9">
                <c:v>48.158531000000004</c:v>
              </c:pt>
              <c:pt idx="10">
                <c:v>50.632359000000008</c:v>
              </c:pt>
              <c:pt idx="11">
                <c:v>53.905521000000007</c:v>
              </c:pt>
            </c:numLit>
          </c:val>
          <c:smooth val="0"/>
          <c:extLst>
            <c:ext xmlns:c16="http://schemas.microsoft.com/office/drawing/2014/chart" uri="{C3380CC4-5D6E-409C-BE32-E72D297353CC}">
              <c16:uniqueId val="{00000000-53F7-4B0A-B393-4EDD22BCC17D}"/>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51.286500898931529</c:v>
              </c:pt>
              <c:pt idx="1">
                <c:v>48.847800900000003</c:v>
              </c:pt>
              <c:pt idx="2">
                <c:v>53.211853999999995</c:v>
              </c:pt>
              <c:pt idx="3">
                <c:v>41.611789999999992</c:v>
              </c:pt>
              <c:pt idx="4">
                <c:v>32.453634000000001</c:v>
              </c:pt>
              <c:pt idx="5">
                <c:v>30.080081</c:v>
              </c:pt>
              <c:pt idx="6">
                <c:v>29.247078999999999</c:v>
              </c:pt>
              <c:pt idx="7">
                <c:v>32.368404999999996</c:v>
              </c:pt>
              <c:pt idx="8">
                <c:v>38.261969999999998</c:v>
              </c:pt>
              <c:pt idx="9">
                <c:v>41.219119999999997</c:v>
              </c:pt>
              <c:pt idx="10">
                <c:v>49.194309999999994</c:v>
              </c:pt>
              <c:pt idx="11">
                <c:v>56.46453600000001</c:v>
              </c:pt>
            </c:numLit>
          </c:val>
          <c:smooth val="0"/>
          <c:extLst>
            <c:ext xmlns:c16="http://schemas.microsoft.com/office/drawing/2014/chart" uri="{C3380CC4-5D6E-409C-BE32-E72D297353CC}">
              <c16:uniqueId val="{00000001-53F7-4B0A-B393-4EDD22BCC17D}"/>
            </c:ext>
          </c:extLst>
        </c:ser>
        <c:dLbls>
          <c:showLegendKey val="0"/>
          <c:showVal val="0"/>
          <c:showCatName val="0"/>
          <c:showSerName val="0"/>
          <c:showPercent val="0"/>
          <c:showBubbleSize val="0"/>
        </c:dLbls>
        <c:smooth val="0"/>
        <c:axId val="361168336"/>
        <c:axId val="361169512"/>
      </c:lineChart>
      <c:catAx>
        <c:axId val="361168336"/>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69512"/>
        <c:crossesAt val="0"/>
        <c:auto val="0"/>
        <c:lblAlgn val="ctr"/>
        <c:lblOffset val="100"/>
        <c:tickLblSkip val="1"/>
        <c:tickMarkSkip val="1"/>
        <c:noMultiLvlLbl val="0"/>
      </c:catAx>
      <c:valAx>
        <c:axId val="361169512"/>
        <c:scaling>
          <c:orientation val="minMax"/>
          <c:max val="80"/>
          <c:min val="10"/>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1.5590200445434301E-2"/>
              <c:y val="0.225352112676056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68336"/>
        <c:crosses val="autoZero"/>
        <c:crossBetween val="midCat"/>
        <c:majorUnit val="1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 l="0" r="0" t="0.59055118110234328"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All Other Compounds and Processed Feeds </a:t>
            </a:r>
            <a:r>
              <a:rPr lang="en-GB" sz="1100" b="1" i="0" u="none" strike="noStrike" baseline="0">
                <a:solidFill>
                  <a:srgbClr val="000000"/>
                </a:solidFill>
                <a:latin typeface="Arial"/>
                <a:cs typeface="Arial"/>
              </a:rPr>
              <a:t>      </a:t>
            </a:r>
          </a:p>
        </c:rich>
      </c:tx>
      <c:layout>
        <c:manualLayout>
          <c:xMode val="edge"/>
          <c:yMode val="edge"/>
          <c:x val="0.14081145584727156"/>
          <c:y val="2.5362475884329806E-2"/>
        </c:manualLayout>
      </c:layout>
      <c:overlay val="0"/>
      <c:spPr>
        <a:noFill/>
        <a:ln w="25400">
          <a:noFill/>
        </a:ln>
      </c:spPr>
    </c:title>
    <c:autoTitleDeleted val="0"/>
    <c:plotArea>
      <c:layout>
        <c:manualLayout>
          <c:layoutTarget val="inner"/>
          <c:xMode val="edge"/>
          <c:yMode val="edge"/>
          <c:x val="0.11455847255369929"/>
          <c:y val="0.19927659623401867"/>
          <c:w val="0.83293556085918863"/>
          <c:h val="0.62319226458638965"/>
        </c:manualLayout>
      </c:layout>
      <c:lineChart>
        <c:grouping val="standard"/>
        <c:varyColors val="0"/>
        <c:ser>
          <c:idx val="0"/>
          <c:order val="0"/>
          <c:tx>
            <c:v>2019</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9.5561929590021872</c:v>
              </c:pt>
              <c:pt idx="1">
                <c:v>7.9624750000000004</c:v>
              </c:pt>
              <c:pt idx="2">
                <c:v>8.6955014000000013</c:v>
              </c:pt>
              <c:pt idx="3">
                <c:v>6.2563750000000002</c:v>
              </c:pt>
              <c:pt idx="4">
                <c:v>4.863906000000001</c:v>
              </c:pt>
              <c:pt idx="5">
                <c:v>6.4642740000000005</c:v>
              </c:pt>
              <c:pt idx="6">
                <c:v>5.9948610000000002</c:v>
              </c:pt>
              <c:pt idx="7">
                <c:v>5.7150240000000005</c:v>
              </c:pt>
              <c:pt idx="8">
                <c:v>6.3292770000000003</c:v>
              </c:pt>
              <c:pt idx="9">
                <c:v>7.9754390000000006</c:v>
              </c:pt>
              <c:pt idx="10">
                <c:v>7.6411410000000002</c:v>
              </c:pt>
              <c:pt idx="11">
                <c:v>7.9393029999999989</c:v>
              </c:pt>
            </c:numLit>
          </c:val>
          <c:smooth val="0"/>
          <c:extLst>
            <c:ext xmlns:c16="http://schemas.microsoft.com/office/drawing/2014/chart" uri="{C3380CC4-5D6E-409C-BE32-E72D297353CC}">
              <c16:uniqueId val="{00000000-DDDA-4A6A-8C9A-2750BA46BAB3}"/>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5.3155299590021867</c:v>
              </c:pt>
              <c:pt idx="1">
                <c:v>7.6475859999999996</c:v>
              </c:pt>
              <c:pt idx="2">
                <c:v>6.6661040000000016</c:v>
              </c:pt>
              <c:pt idx="3">
                <c:v>6.8141369999999997</c:v>
              </c:pt>
              <c:pt idx="4">
                <c:v>5.3865120000000006</c:v>
              </c:pt>
              <c:pt idx="5">
                <c:v>6.8369999999999997</c:v>
              </c:pt>
              <c:pt idx="6">
                <c:v>4.9275720000000005</c:v>
              </c:pt>
              <c:pt idx="7">
                <c:v>6.0091980000000005</c:v>
              </c:pt>
              <c:pt idx="8">
                <c:v>6.6055599999999997</c:v>
              </c:pt>
              <c:pt idx="9">
                <c:v>6.769334999999999</c:v>
              </c:pt>
              <c:pt idx="10">
                <c:v>6.9332819999999993</c:v>
              </c:pt>
              <c:pt idx="11">
                <c:v>7.7150439999999998</c:v>
              </c:pt>
            </c:numLit>
          </c:val>
          <c:smooth val="0"/>
          <c:extLst>
            <c:ext xmlns:c16="http://schemas.microsoft.com/office/drawing/2014/chart" uri="{C3380CC4-5D6E-409C-BE32-E72D297353CC}">
              <c16:uniqueId val="{00000001-DDDA-4A6A-8C9A-2750BA46BAB3}"/>
            </c:ext>
          </c:extLst>
        </c:ser>
        <c:dLbls>
          <c:showLegendKey val="0"/>
          <c:showVal val="0"/>
          <c:showCatName val="0"/>
          <c:showSerName val="0"/>
          <c:showPercent val="0"/>
          <c:showBubbleSize val="0"/>
        </c:dLbls>
        <c:smooth val="0"/>
        <c:axId val="361167552"/>
        <c:axId val="361169904"/>
      </c:lineChart>
      <c:catAx>
        <c:axId val="361167552"/>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69904"/>
        <c:crossesAt val="2"/>
        <c:auto val="0"/>
        <c:lblAlgn val="ctr"/>
        <c:lblOffset val="100"/>
        <c:tickLblSkip val="1"/>
        <c:tickMarkSkip val="1"/>
        <c:noMultiLvlLbl val="0"/>
      </c:catAx>
      <c:valAx>
        <c:axId val="361169904"/>
        <c:scaling>
          <c:orientation val="minMax"/>
          <c:max val="12"/>
          <c:min val="2"/>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1.6706443914081145E-2"/>
              <c:y val="0.315219343133819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1167552"/>
        <c:crosses val="autoZero"/>
        <c:crossBetween val="midCat"/>
        <c:majorUnit val="2"/>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cid:image001.png@01D1AAB2.A3ADEC0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cid:image001.png@01D1AAB2.A3ADEC00" TargetMode="External"/></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584835</xdr:colOff>
      <xdr:row>0</xdr:row>
      <xdr:rowOff>142240</xdr:rowOff>
    </xdr:from>
    <xdr:to>
      <xdr:col>14</xdr:col>
      <xdr:colOff>201938</xdr:colOff>
      <xdr:row>7</xdr:row>
      <xdr:rowOff>101186</xdr:rowOff>
    </xdr:to>
    <xdr:sp macro="" textlink="">
      <xdr:nvSpPr>
        <xdr:cNvPr id="2" name="Text 14">
          <a:extLst>
            <a:ext uri="{FF2B5EF4-FFF2-40B4-BE49-F238E27FC236}">
              <a16:creationId xmlns:a16="http://schemas.microsoft.com/office/drawing/2014/main" id="{00000000-0008-0000-0000-000002000000}"/>
            </a:ext>
          </a:extLst>
        </xdr:cNvPr>
        <xdr:cNvSpPr txBox="1">
          <a:spLocks noChangeArrowheads="1"/>
        </xdr:cNvSpPr>
      </xdr:nvSpPr>
      <xdr:spPr bwMode="auto">
        <a:xfrm>
          <a:off x="4471035" y="142240"/>
          <a:ext cx="6322703" cy="1070196"/>
        </a:xfrm>
        <a:prstGeom prst="rect">
          <a:avLst/>
        </a:prstGeom>
        <a:solidFill>
          <a:srgbClr val="FFFFFF"/>
        </a:solidFill>
        <a:ln w="1">
          <a:noFill/>
          <a:miter lim="800000"/>
          <a:headEnd/>
          <a:tailEnd/>
        </a:ln>
      </xdr:spPr>
      <xdr:txBody>
        <a:bodyPr vertOverflow="clip" wrap="square" lIns="100584" tIns="45720" rIns="100584" bIns="45720" anchor="ctr" upright="1"/>
        <a:lstStyle/>
        <a:p>
          <a:pPr algn="ctr" rtl="0">
            <a:defRPr sz="1000"/>
          </a:pPr>
          <a:r>
            <a:rPr lang="en-GB" sz="1800" b="1" i="1" u="none" strike="noStrike" baseline="0">
              <a:solidFill>
                <a:srgbClr val="000000"/>
              </a:solidFill>
              <a:latin typeface="Wide Latin"/>
            </a:rPr>
            <a:t>NORTHERN IRELAND </a:t>
          </a:r>
        </a:p>
        <a:p>
          <a:pPr algn="ctr" rtl="0">
            <a:defRPr sz="1000"/>
          </a:pPr>
          <a:r>
            <a:rPr lang="en-GB" sz="1800" b="1" i="1" u="none" strike="noStrike" baseline="0">
              <a:solidFill>
                <a:srgbClr val="000000"/>
              </a:solidFill>
              <a:latin typeface="Wide Latin"/>
            </a:rPr>
            <a:t>Animal Feed Statistics</a:t>
          </a:r>
        </a:p>
        <a:p>
          <a:pPr algn="ctr" rtl="0">
            <a:defRPr sz="1000"/>
          </a:pPr>
          <a:r>
            <a:rPr lang="en-GB" sz="1800" b="1" i="1" u="none" strike="noStrike" baseline="0">
              <a:solidFill>
                <a:srgbClr val="000000"/>
              </a:solidFill>
              <a:latin typeface="Wide Latin"/>
            </a:rPr>
            <a:t>2021</a:t>
          </a:r>
        </a:p>
      </xdr:txBody>
    </xdr:sp>
    <xdr:clientData/>
  </xdr:twoCellAnchor>
  <xdr:twoCellAnchor>
    <xdr:from>
      <xdr:col>1</xdr:col>
      <xdr:colOff>1407011</xdr:colOff>
      <xdr:row>46</xdr:row>
      <xdr:rowOff>91216</xdr:rowOff>
    </xdr:from>
    <xdr:to>
      <xdr:col>7</xdr:col>
      <xdr:colOff>530751</xdr:colOff>
      <xdr:row>52</xdr:row>
      <xdr:rowOff>900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597511" y="9317766"/>
          <a:ext cx="5257840" cy="8621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National Statistics are produced to professional standards set out in the National Statistics Code of practice. They undergo regular quality assurance reviews to ensure that they meet customer needs. They are produced free from any political interference. You can find National Statistics on the Internet - go to www.statistics.gov.uk</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15</xdr:col>
      <xdr:colOff>207645</xdr:colOff>
      <xdr:row>46</xdr:row>
      <xdr:rowOff>7620</xdr:rowOff>
    </xdr:from>
    <xdr:to>
      <xdr:col>19</xdr:col>
      <xdr:colOff>118136</xdr:colOff>
      <xdr:row>52</xdr:row>
      <xdr:rowOff>31750</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11409045" y="9234170"/>
          <a:ext cx="2418741" cy="97663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950" b="1" i="0" u="none" strike="noStrike" baseline="0">
              <a:solidFill>
                <a:srgbClr val="000000"/>
              </a:solidFill>
              <a:latin typeface="Arial"/>
              <a:cs typeface="Arial"/>
            </a:rPr>
            <a:t>Enquiries to:  Paul Keatley</a:t>
          </a:r>
        </a:p>
        <a:p>
          <a:pPr algn="l" rtl="0">
            <a:defRPr sz="1000"/>
          </a:pPr>
          <a:r>
            <a:rPr lang="en-GB" sz="950" b="1" i="0" u="none" strike="noStrike" baseline="0">
              <a:solidFill>
                <a:srgbClr val="000000"/>
              </a:solidFill>
              <a:latin typeface="Arial"/>
              <a:cs typeface="Arial"/>
            </a:rPr>
            <a:t>Economics &amp; Evaluations Branch</a:t>
          </a:r>
        </a:p>
        <a:p>
          <a:pPr algn="l" rtl="0">
            <a:defRPr sz="1000"/>
          </a:pPr>
          <a:r>
            <a:rPr lang="en-GB" sz="950" b="1" i="0" u="none" strike="noStrike" baseline="0">
              <a:solidFill>
                <a:srgbClr val="000000"/>
              </a:solidFill>
              <a:latin typeface="Arial"/>
              <a:cs typeface="Arial"/>
            </a:rPr>
            <a:t>Room 817, Dundonald House</a:t>
          </a:r>
        </a:p>
        <a:p>
          <a:pPr algn="l" rtl="0">
            <a:defRPr sz="1000"/>
          </a:pPr>
          <a:r>
            <a:rPr lang="en-GB" sz="950" b="1" i="0" u="none" strike="noStrike" baseline="0">
              <a:solidFill>
                <a:srgbClr val="000000"/>
              </a:solidFill>
              <a:latin typeface="Arial"/>
              <a:cs typeface="Arial"/>
            </a:rPr>
            <a:t>Upper Newtownards Road</a:t>
          </a:r>
        </a:p>
        <a:p>
          <a:pPr algn="l" rtl="0">
            <a:defRPr sz="1000"/>
          </a:pPr>
          <a:r>
            <a:rPr lang="en-GB" sz="950" b="1" i="0" u="none" strike="noStrike" baseline="0">
              <a:solidFill>
                <a:srgbClr val="000000"/>
              </a:solidFill>
              <a:latin typeface="Arial"/>
              <a:cs typeface="Arial"/>
            </a:rPr>
            <a:t>Ballymiscaw</a:t>
          </a:r>
        </a:p>
        <a:p>
          <a:pPr algn="l" rtl="0">
            <a:defRPr sz="1000"/>
          </a:pPr>
          <a:r>
            <a:rPr lang="en-GB" sz="950" b="1" i="0" u="none" strike="noStrike" baseline="0">
              <a:solidFill>
                <a:srgbClr val="000000"/>
              </a:solidFill>
              <a:latin typeface="Arial"/>
              <a:cs typeface="Arial"/>
            </a:rPr>
            <a:t>BELFAST BT4 3SB</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15</xdr:col>
      <xdr:colOff>232834</xdr:colOff>
      <xdr:row>52</xdr:row>
      <xdr:rowOff>2117</xdr:rowOff>
    </xdr:from>
    <xdr:to>
      <xdr:col>20</xdr:col>
      <xdr:colOff>198967</xdr:colOff>
      <xdr:row>56</xdr:row>
      <xdr:rowOff>74709</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11434234" y="10181167"/>
          <a:ext cx="2664883" cy="732992"/>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950" b="1" i="0" u="none" strike="noStrike" baseline="0">
              <a:solidFill>
                <a:srgbClr val="000000"/>
              </a:solidFill>
              <a:latin typeface="Arial"/>
              <a:cs typeface="Arial"/>
            </a:rPr>
            <a:t>Telephone (028) 90524640</a:t>
          </a:r>
        </a:p>
        <a:p>
          <a:pPr algn="l" rtl="0">
            <a:defRPr sz="1000"/>
          </a:pPr>
          <a:r>
            <a:rPr lang="en-GB" sz="950" b="1" i="0" u="none" strike="noStrike" baseline="0">
              <a:solidFill>
                <a:srgbClr val="000000"/>
              </a:solidFill>
              <a:latin typeface="Arial"/>
              <a:cs typeface="Arial"/>
            </a:rPr>
            <a:t>E-mail aeb.econstats@daera-ni.gov.uk</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4</xdr:col>
      <xdr:colOff>114300</xdr:colOff>
      <xdr:row>54</xdr:row>
      <xdr:rowOff>137160</xdr:rowOff>
    </xdr:from>
    <xdr:to>
      <xdr:col>11</xdr:col>
      <xdr:colOff>377180</xdr:colOff>
      <xdr:row>58</xdr:row>
      <xdr:rowOff>129543</xdr:rowOff>
    </xdr:to>
    <xdr:sp macro="" textlink="">
      <xdr:nvSpPr>
        <xdr:cNvPr id="6" name="Text Box 8">
          <a:extLst>
            <a:ext uri="{FF2B5EF4-FFF2-40B4-BE49-F238E27FC236}">
              <a16:creationId xmlns:a16="http://schemas.microsoft.com/office/drawing/2014/main" id="{00000000-0008-0000-0000-000006000000}"/>
            </a:ext>
          </a:extLst>
        </xdr:cNvPr>
        <xdr:cNvSpPr txBox="1">
          <a:spLocks noChangeArrowheads="1"/>
        </xdr:cNvSpPr>
      </xdr:nvSpPr>
      <xdr:spPr bwMode="auto">
        <a:xfrm>
          <a:off x="4610100" y="10640060"/>
          <a:ext cx="4530080" cy="64643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GB" sz="1000" b="1" i="0" u="none" strike="noStrike" baseline="0">
              <a:solidFill>
                <a:srgbClr val="000000"/>
              </a:solidFill>
              <a:latin typeface="Arial"/>
              <a:cs typeface="Arial"/>
            </a:rPr>
            <a:t>Northern Ireland Animal Feed Statistics are available free of charge on the Department's website - www.daera-ni.gov.uk</a:t>
          </a:r>
        </a:p>
        <a:p>
          <a:pPr algn="ctr" rtl="0">
            <a:defRPr sz="1000"/>
          </a:pPr>
          <a:r>
            <a:rPr lang="en-GB" sz="1000" b="1" i="0" u="none" strike="noStrike" baseline="0">
              <a:solidFill>
                <a:srgbClr val="000000"/>
              </a:solidFill>
              <a:latin typeface="Arial"/>
              <a:cs typeface="Arial"/>
            </a:rPr>
            <a:t>or via Twitter:@DAERAstats</a:t>
          </a:r>
        </a:p>
      </xdr:txBody>
    </xdr:sp>
    <xdr:clientData/>
  </xdr:twoCellAnchor>
  <xdr:twoCellAnchor>
    <xdr:from>
      <xdr:col>9</xdr:col>
      <xdr:colOff>283845</xdr:colOff>
      <xdr:row>47</xdr:row>
      <xdr:rowOff>121920</xdr:rowOff>
    </xdr:from>
    <xdr:to>
      <xdr:col>13</xdr:col>
      <xdr:colOff>504826</xdr:colOff>
      <xdr:row>50</xdr:row>
      <xdr:rowOff>106680</xdr:rowOff>
    </xdr:to>
    <xdr:sp macro="" textlink="">
      <xdr:nvSpPr>
        <xdr:cNvPr id="7" name="Text Box 9">
          <a:extLst>
            <a:ext uri="{FF2B5EF4-FFF2-40B4-BE49-F238E27FC236}">
              <a16:creationId xmlns:a16="http://schemas.microsoft.com/office/drawing/2014/main" id="{00000000-0008-0000-0000-000007000000}"/>
            </a:ext>
          </a:extLst>
        </xdr:cNvPr>
        <xdr:cNvSpPr txBox="1">
          <a:spLocks noChangeArrowheads="1"/>
        </xdr:cNvSpPr>
      </xdr:nvSpPr>
      <xdr:spPr bwMode="auto">
        <a:xfrm>
          <a:off x="7827645" y="9507220"/>
          <a:ext cx="2659381" cy="461010"/>
        </a:xfrm>
        <a:prstGeom prst="rect">
          <a:avLst/>
        </a:prstGeom>
        <a:solidFill>
          <a:srgbClr val="000000"/>
        </a:solidFill>
        <a:ln w="9525">
          <a:solidFill>
            <a:srgbClr val="000000"/>
          </a:solidFill>
          <a:miter lim="800000"/>
          <a:headEnd/>
          <a:tailEnd/>
        </a:ln>
      </xdr:spPr>
      <xdr:txBody>
        <a:bodyPr vertOverflow="clip" wrap="square" lIns="36576" tIns="22860" rIns="0" bIns="0" anchor="t" upright="1"/>
        <a:lstStyle/>
        <a:p>
          <a:pPr algn="l" rtl="0">
            <a:defRPr sz="1000"/>
          </a:pPr>
          <a:r>
            <a:rPr lang="en-GB" sz="950" b="0" i="0" u="none" strike="noStrike" baseline="0">
              <a:solidFill>
                <a:srgbClr val="FFFFFF"/>
              </a:solidFill>
              <a:latin typeface="Arial"/>
              <a:cs typeface="Arial"/>
            </a:rPr>
            <a:t>If you have a hearing difficulty you can contact the Department via the textphone on 028 9052 4420</a:t>
          </a:r>
        </a:p>
      </xdr:txBody>
    </xdr:sp>
    <xdr:clientData/>
  </xdr:twoCellAnchor>
  <xdr:twoCellAnchor>
    <xdr:from>
      <xdr:col>1</xdr:col>
      <xdr:colOff>60960</xdr:colOff>
      <xdr:row>46</xdr:row>
      <xdr:rowOff>69878</xdr:rowOff>
    </xdr:from>
    <xdr:to>
      <xdr:col>1</xdr:col>
      <xdr:colOff>853440</xdr:colOff>
      <xdr:row>51</xdr:row>
      <xdr:rowOff>1676</xdr:rowOff>
    </xdr:to>
    <xdr:pic>
      <xdr:nvPicPr>
        <xdr:cNvPr id="8" name="Picture 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1460" y="9296428"/>
          <a:ext cx="792480" cy="725548"/>
        </a:xfrm>
        <a:prstGeom prst="rect">
          <a:avLst/>
        </a:prstGeom>
        <a:noFill/>
      </xdr:spPr>
    </xdr:pic>
    <xdr:clientData/>
  </xdr:twoCellAnchor>
  <xdr:twoCellAnchor>
    <xdr:from>
      <xdr:col>14</xdr:col>
      <xdr:colOff>533400</xdr:colOff>
      <xdr:row>1</xdr:row>
      <xdr:rowOff>121920</xdr:rowOff>
    </xdr:from>
    <xdr:to>
      <xdr:col>18</xdr:col>
      <xdr:colOff>285974</xdr:colOff>
      <xdr:row>7</xdr:row>
      <xdr:rowOff>3586</xdr:rowOff>
    </xdr:to>
    <xdr:sp macro="" textlink="">
      <xdr:nvSpPr>
        <xdr:cNvPr id="9" name="AutoShape 7">
          <a:extLst>
            <a:ext uri="{FF2B5EF4-FFF2-40B4-BE49-F238E27FC236}">
              <a16:creationId xmlns:a16="http://schemas.microsoft.com/office/drawing/2014/main" id="{00000000-0008-0000-0000-000009000000}"/>
            </a:ext>
          </a:extLst>
        </xdr:cNvPr>
        <xdr:cNvSpPr>
          <a:spLocks noChangeAspect="1" noChangeArrowheads="1" noTextEdit="1"/>
        </xdr:cNvSpPr>
      </xdr:nvSpPr>
      <xdr:spPr bwMode="auto">
        <a:xfrm>
          <a:off x="11125200" y="280670"/>
          <a:ext cx="2190974" cy="834166"/>
        </a:xfrm>
        <a:prstGeom prst="rect">
          <a:avLst/>
        </a:prstGeom>
        <a:noFill/>
        <a:ln w="9525">
          <a:noFill/>
          <a:miter lim="800000"/>
          <a:headEnd/>
          <a:tailEnd/>
        </a:ln>
      </xdr:spPr>
    </xdr:sp>
    <xdr:clientData/>
  </xdr:twoCellAnchor>
  <xdr:twoCellAnchor>
    <xdr:from>
      <xdr:col>14</xdr:col>
      <xdr:colOff>542701</xdr:colOff>
      <xdr:row>1</xdr:row>
      <xdr:rowOff>131165</xdr:rowOff>
    </xdr:from>
    <xdr:to>
      <xdr:col>18</xdr:col>
      <xdr:colOff>285974</xdr:colOff>
      <xdr:row>7</xdr:row>
      <xdr:rowOff>3586</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134501" y="289915"/>
          <a:ext cx="2181673" cy="824921"/>
        </a:xfrm>
        <a:prstGeom prst="rect">
          <a:avLst/>
        </a:prstGeom>
        <a:noFill/>
        <a:ln w="9525">
          <a:noFill/>
          <a:miter lim="800000"/>
          <a:headEnd/>
          <a:tailEnd/>
        </a:ln>
      </xdr:spPr>
    </xdr:pic>
    <xdr:clientData/>
  </xdr:twoCellAnchor>
  <xdr:twoCellAnchor>
    <xdr:from>
      <xdr:col>0</xdr:col>
      <xdr:colOff>135467</xdr:colOff>
      <xdr:row>1</xdr:row>
      <xdr:rowOff>50800</xdr:rowOff>
    </xdr:from>
    <xdr:to>
      <xdr:col>4</xdr:col>
      <xdr:colOff>211667</xdr:colOff>
      <xdr:row>7</xdr:row>
      <xdr:rowOff>33867</xdr:rowOff>
    </xdr:to>
    <xdr:pic>
      <xdr:nvPicPr>
        <xdr:cNvPr id="11" name="Picture 6" descr="cid:image001.png@01D1AAB2.A3ADEC0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r:link="rId4" cstate="print"/>
        <a:srcRect/>
        <a:stretch>
          <a:fillRect/>
        </a:stretch>
      </xdr:blipFill>
      <xdr:spPr bwMode="auto">
        <a:xfrm>
          <a:off x="135467" y="209550"/>
          <a:ext cx="4572000" cy="935567"/>
        </a:xfrm>
        <a:prstGeom prst="rect">
          <a:avLst/>
        </a:prstGeom>
        <a:noFill/>
      </xdr:spPr>
    </xdr:pic>
    <xdr:clientData/>
  </xdr:twoCellAnchor>
  <xdr:twoCellAnchor editAs="oneCell">
    <xdr:from>
      <xdr:col>0</xdr:col>
      <xdr:colOff>114300</xdr:colOff>
      <xdr:row>0</xdr:row>
      <xdr:rowOff>30480</xdr:rowOff>
    </xdr:from>
    <xdr:to>
      <xdr:col>3</xdr:col>
      <xdr:colOff>457200</xdr:colOff>
      <xdr:row>8</xdr:row>
      <xdr:rowOff>91440</xdr:rowOff>
    </xdr:to>
    <xdr:sp macro="" textlink="">
      <xdr:nvSpPr>
        <xdr:cNvPr id="12" name="AutoShape 1">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14300" y="30480"/>
          <a:ext cx="4229100" cy="133096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584835</xdr:colOff>
      <xdr:row>0</xdr:row>
      <xdr:rowOff>142240</xdr:rowOff>
    </xdr:from>
    <xdr:to>
      <xdr:col>14</xdr:col>
      <xdr:colOff>201938</xdr:colOff>
      <xdr:row>7</xdr:row>
      <xdr:rowOff>101186</xdr:rowOff>
    </xdr:to>
    <xdr:sp macro="" textlink="">
      <xdr:nvSpPr>
        <xdr:cNvPr id="2" name="Text 14">
          <a:extLst>
            <a:ext uri="{FF2B5EF4-FFF2-40B4-BE49-F238E27FC236}">
              <a16:creationId xmlns:a16="http://schemas.microsoft.com/office/drawing/2014/main" id="{00000000-0008-0000-0100-000002000000}"/>
            </a:ext>
          </a:extLst>
        </xdr:cNvPr>
        <xdr:cNvSpPr txBox="1">
          <a:spLocks noChangeArrowheads="1"/>
        </xdr:cNvSpPr>
      </xdr:nvSpPr>
      <xdr:spPr bwMode="auto">
        <a:xfrm>
          <a:off x="4471035" y="142240"/>
          <a:ext cx="6322703" cy="1070196"/>
        </a:xfrm>
        <a:prstGeom prst="rect">
          <a:avLst/>
        </a:prstGeom>
        <a:solidFill>
          <a:srgbClr val="FFFFFF"/>
        </a:solidFill>
        <a:ln w="1">
          <a:noFill/>
          <a:miter lim="800000"/>
          <a:headEnd/>
          <a:tailEnd/>
        </a:ln>
      </xdr:spPr>
      <xdr:txBody>
        <a:bodyPr vertOverflow="clip" wrap="square" lIns="100584" tIns="45720" rIns="100584" bIns="45720" anchor="ctr" upright="1"/>
        <a:lstStyle/>
        <a:p>
          <a:pPr algn="ctr" rtl="0">
            <a:defRPr sz="1000"/>
          </a:pPr>
          <a:r>
            <a:rPr lang="en-GB" sz="1800" b="1" i="1" u="none" strike="noStrike" baseline="0">
              <a:solidFill>
                <a:srgbClr val="000000"/>
              </a:solidFill>
              <a:latin typeface="Wide Latin"/>
            </a:rPr>
            <a:t>NORTHERN IRELAND </a:t>
          </a:r>
        </a:p>
        <a:p>
          <a:pPr algn="ctr" rtl="0">
            <a:defRPr sz="1000"/>
          </a:pPr>
          <a:r>
            <a:rPr lang="en-GB" sz="1800" b="1" i="1" u="none" strike="noStrike" baseline="0">
              <a:solidFill>
                <a:srgbClr val="000000"/>
              </a:solidFill>
              <a:latin typeface="Wide Latin"/>
            </a:rPr>
            <a:t>Animal Feed Statistics</a:t>
          </a:r>
        </a:p>
        <a:p>
          <a:pPr algn="ctr" rtl="0">
            <a:defRPr sz="1000"/>
          </a:pPr>
          <a:r>
            <a:rPr lang="en-GB" sz="1800" b="1" i="1" u="none" strike="noStrike" baseline="0">
              <a:solidFill>
                <a:srgbClr val="000000"/>
              </a:solidFill>
              <a:latin typeface="Wide Latin"/>
            </a:rPr>
            <a:t>2020</a:t>
          </a:r>
        </a:p>
      </xdr:txBody>
    </xdr:sp>
    <xdr:clientData/>
  </xdr:twoCellAnchor>
  <xdr:twoCellAnchor>
    <xdr:from>
      <xdr:col>1</xdr:col>
      <xdr:colOff>1407011</xdr:colOff>
      <xdr:row>46</xdr:row>
      <xdr:rowOff>91216</xdr:rowOff>
    </xdr:from>
    <xdr:to>
      <xdr:col>7</xdr:col>
      <xdr:colOff>530751</xdr:colOff>
      <xdr:row>52</xdr:row>
      <xdr:rowOff>900</xdr:rowOff>
    </xdr:to>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1597511" y="9317766"/>
          <a:ext cx="5257840" cy="8621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National Statistics are produced to professional standards set out in the National Statistics Code of practice. They undergo regular quality assurance reviews to ensure that they meet customer needs. They are produced free from any political interference. You can find National Statistics on the Internet - go to www.statistics.gov.uk</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15</xdr:col>
      <xdr:colOff>207645</xdr:colOff>
      <xdr:row>46</xdr:row>
      <xdr:rowOff>7620</xdr:rowOff>
    </xdr:from>
    <xdr:to>
      <xdr:col>19</xdr:col>
      <xdr:colOff>118136</xdr:colOff>
      <xdr:row>52</xdr:row>
      <xdr:rowOff>31750</xdr:rowOff>
    </xdr:to>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11409045" y="9234170"/>
          <a:ext cx="2418741" cy="97663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950" b="1" i="0" u="none" strike="noStrike" baseline="0">
              <a:solidFill>
                <a:srgbClr val="000000"/>
              </a:solidFill>
              <a:latin typeface="Arial"/>
              <a:cs typeface="Arial"/>
            </a:rPr>
            <a:t>Enquiries to:  Paul Keatley</a:t>
          </a:r>
        </a:p>
        <a:p>
          <a:pPr algn="l" rtl="0">
            <a:defRPr sz="1000"/>
          </a:pPr>
          <a:r>
            <a:rPr lang="en-GB" sz="950" b="1" i="0" u="none" strike="noStrike" baseline="0">
              <a:solidFill>
                <a:srgbClr val="000000"/>
              </a:solidFill>
              <a:latin typeface="Arial"/>
              <a:cs typeface="Arial"/>
            </a:rPr>
            <a:t>Economics &amp; Evaluations Branch</a:t>
          </a:r>
        </a:p>
        <a:p>
          <a:pPr algn="l" rtl="0">
            <a:defRPr sz="1000"/>
          </a:pPr>
          <a:r>
            <a:rPr lang="en-GB" sz="950" b="1" i="0" u="none" strike="noStrike" baseline="0">
              <a:solidFill>
                <a:srgbClr val="000000"/>
              </a:solidFill>
              <a:latin typeface="Arial"/>
              <a:cs typeface="Arial"/>
            </a:rPr>
            <a:t>Room 817, Dundonald House</a:t>
          </a:r>
        </a:p>
        <a:p>
          <a:pPr algn="l" rtl="0">
            <a:defRPr sz="1000"/>
          </a:pPr>
          <a:r>
            <a:rPr lang="en-GB" sz="950" b="1" i="0" u="none" strike="noStrike" baseline="0">
              <a:solidFill>
                <a:srgbClr val="000000"/>
              </a:solidFill>
              <a:latin typeface="Arial"/>
              <a:cs typeface="Arial"/>
            </a:rPr>
            <a:t>Upper Newtownards Road</a:t>
          </a:r>
        </a:p>
        <a:p>
          <a:pPr algn="l" rtl="0">
            <a:defRPr sz="1000"/>
          </a:pPr>
          <a:r>
            <a:rPr lang="en-GB" sz="950" b="1" i="0" u="none" strike="noStrike" baseline="0">
              <a:solidFill>
                <a:srgbClr val="000000"/>
              </a:solidFill>
              <a:latin typeface="Arial"/>
              <a:cs typeface="Arial"/>
            </a:rPr>
            <a:t>Ballymiscaw</a:t>
          </a:r>
        </a:p>
        <a:p>
          <a:pPr algn="l" rtl="0">
            <a:defRPr sz="1000"/>
          </a:pPr>
          <a:r>
            <a:rPr lang="en-GB" sz="950" b="1" i="0" u="none" strike="noStrike" baseline="0">
              <a:solidFill>
                <a:srgbClr val="000000"/>
              </a:solidFill>
              <a:latin typeface="Arial"/>
              <a:cs typeface="Arial"/>
            </a:rPr>
            <a:t>BELFAST BT4 3SB</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15</xdr:col>
      <xdr:colOff>232834</xdr:colOff>
      <xdr:row>52</xdr:row>
      <xdr:rowOff>2117</xdr:rowOff>
    </xdr:from>
    <xdr:to>
      <xdr:col>20</xdr:col>
      <xdr:colOff>198967</xdr:colOff>
      <xdr:row>56</xdr:row>
      <xdr:rowOff>74709</xdr:rowOff>
    </xdr:to>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11434234" y="10181167"/>
          <a:ext cx="2664883" cy="732992"/>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950" b="1" i="0" u="none" strike="noStrike" baseline="0">
              <a:solidFill>
                <a:srgbClr val="000000"/>
              </a:solidFill>
              <a:latin typeface="Arial"/>
              <a:cs typeface="Arial"/>
            </a:rPr>
            <a:t>Telephone (028) 90524640</a:t>
          </a:r>
        </a:p>
        <a:p>
          <a:pPr algn="l" rtl="0">
            <a:defRPr sz="1000"/>
          </a:pPr>
          <a:r>
            <a:rPr lang="en-GB" sz="950" b="1" i="0" u="none" strike="noStrike" baseline="0">
              <a:solidFill>
                <a:srgbClr val="000000"/>
              </a:solidFill>
              <a:latin typeface="Arial"/>
              <a:cs typeface="Arial"/>
            </a:rPr>
            <a:t>E-mail aeb.econstats@daera-ni.gov.uk</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4</xdr:col>
      <xdr:colOff>114300</xdr:colOff>
      <xdr:row>54</xdr:row>
      <xdr:rowOff>137160</xdr:rowOff>
    </xdr:from>
    <xdr:to>
      <xdr:col>11</xdr:col>
      <xdr:colOff>377180</xdr:colOff>
      <xdr:row>58</xdr:row>
      <xdr:rowOff>129543</xdr:rowOff>
    </xdr:to>
    <xdr:sp macro="" textlink="">
      <xdr:nvSpPr>
        <xdr:cNvPr id="6" name="Text Box 8">
          <a:extLst>
            <a:ext uri="{FF2B5EF4-FFF2-40B4-BE49-F238E27FC236}">
              <a16:creationId xmlns:a16="http://schemas.microsoft.com/office/drawing/2014/main" id="{00000000-0008-0000-0100-000006000000}"/>
            </a:ext>
          </a:extLst>
        </xdr:cNvPr>
        <xdr:cNvSpPr txBox="1">
          <a:spLocks noChangeArrowheads="1"/>
        </xdr:cNvSpPr>
      </xdr:nvSpPr>
      <xdr:spPr bwMode="auto">
        <a:xfrm>
          <a:off x="4610100" y="10640060"/>
          <a:ext cx="4530080" cy="64643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GB" sz="1000" b="1" i="0" u="none" strike="noStrike" baseline="0">
              <a:solidFill>
                <a:srgbClr val="000000"/>
              </a:solidFill>
              <a:latin typeface="Arial"/>
              <a:cs typeface="Arial"/>
            </a:rPr>
            <a:t>Northern Ireland Animal Feed Statistics are available free of charge on the Department's website - www.daera-ni.gov.uk</a:t>
          </a:r>
        </a:p>
        <a:p>
          <a:pPr algn="ctr" rtl="0">
            <a:defRPr sz="1000"/>
          </a:pPr>
          <a:r>
            <a:rPr lang="en-GB" sz="1000" b="1" i="0" u="none" strike="noStrike" baseline="0">
              <a:solidFill>
                <a:srgbClr val="000000"/>
              </a:solidFill>
              <a:latin typeface="Arial"/>
              <a:cs typeface="Arial"/>
            </a:rPr>
            <a:t>or via Twitter:@DAERAstats</a:t>
          </a:r>
        </a:p>
      </xdr:txBody>
    </xdr:sp>
    <xdr:clientData/>
  </xdr:twoCellAnchor>
  <xdr:twoCellAnchor>
    <xdr:from>
      <xdr:col>9</xdr:col>
      <xdr:colOff>283845</xdr:colOff>
      <xdr:row>47</xdr:row>
      <xdr:rowOff>121920</xdr:rowOff>
    </xdr:from>
    <xdr:to>
      <xdr:col>13</xdr:col>
      <xdr:colOff>504826</xdr:colOff>
      <xdr:row>50</xdr:row>
      <xdr:rowOff>106680</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7827645" y="9507220"/>
          <a:ext cx="2659381" cy="461010"/>
        </a:xfrm>
        <a:prstGeom prst="rect">
          <a:avLst/>
        </a:prstGeom>
        <a:solidFill>
          <a:srgbClr val="000000"/>
        </a:solidFill>
        <a:ln w="9525">
          <a:solidFill>
            <a:srgbClr val="000000"/>
          </a:solidFill>
          <a:miter lim="800000"/>
          <a:headEnd/>
          <a:tailEnd/>
        </a:ln>
      </xdr:spPr>
      <xdr:txBody>
        <a:bodyPr vertOverflow="clip" wrap="square" lIns="36576" tIns="22860" rIns="0" bIns="0" anchor="t" upright="1"/>
        <a:lstStyle/>
        <a:p>
          <a:pPr algn="l" rtl="0">
            <a:defRPr sz="1000"/>
          </a:pPr>
          <a:r>
            <a:rPr lang="en-GB" sz="950" b="0" i="0" u="none" strike="noStrike" baseline="0">
              <a:solidFill>
                <a:srgbClr val="FFFFFF"/>
              </a:solidFill>
              <a:latin typeface="Arial"/>
              <a:cs typeface="Arial"/>
            </a:rPr>
            <a:t>If you have a hearing difficulty you can contact the Department via the textphone on 028 9052 4420</a:t>
          </a:r>
        </a:p>
      </xdr:txBody>
    </xdr:sp>
    <xdr:clientData/>
  </xdr:twoCellAnchor>
  <xdr:twoCellAnchor>
    <xdr:from>
      <xdr:col>1</xdr:col>
      <xdr:colOff>60960</xdr:colOff>
      <xdr:row>46</xdr:row>
      <xdr:rowOff>69878</xdr:rowOff>
    </xdr:from>
    <xdr:to>
      <xdr:col>1</xdr:col>
      <xdr:colOff>853440</xdr:colOff>
      <xdr:row>51</xdr:row>
      <xdr:rowOff>1676</xdr:rowOff>
    </xdr:to>
    <xdr:pic>
      <xdr:nvPicPr>
        <xdr:cNvPr id="8" name="Picture 6">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1460" y="9296428"/>
          <a:ext cx="792480" cy="725548"/>
        </a:xfrm>
        <a:prstGeom prst="rect">
          <a:avLst/>
        </a:prstGeom>
        <a:noFill/>
      </xdr:spPr>
    </xdr:pic>
    <xdr:clientData/>
  </xdr:twoCellAnchor>
  <xdr:twoCellAnchor>
    <xdr:from>
      <xdr:col>14</xdr:col>
      <xdr:colOff>533400</xdr:colOff>
      <xdr:row>1</xdr:row>
      <xdr:rowOff>121920</xdr:rowOff>
    </xdr:from>
    <xdr:to>
      <xdr:col>18</xdr:col>
      <xdr:colOff>285974</xdr:colOff>
      <xdr:row>7</xdr:row>
      <xdr:rowOff>3586</xdr:rowOff>
    </xdr:to>
    <xdr:sp macro="" textlink="">
      <xdr:nvSpPr>
        <xdr:cNvPr id="9" name="AutoShape 7">
          <a:extLst>
            <a:ext uri="{FF2B5EF4-FFF2-40B4-BE49-F238E27FC236}">
              <a16:creationId xmlns:a16="http://schemas.microsoft.com/office/drawing/2014/main" id="{00000000-0008-0000-0100-000009000000}"/>
            </a:ext>
          </a:extLst>
        </xdr:cNvPr>
        <xdr:cNvSpPr>
          <a:spLocks noChangeAspect="1" noChangeArrowheads="1" noTextEdit="1"/>
        </xdr:cNvSpPr>
      </xdr:nvSpPr>
      <xdr:spPr bwMode="auto">
        <a:xfrm>
          <a:off x="11125200" y="280670"/>
          <a:ext cx="2190974" cy="834166"/>
        </a:xfrm>
        <a:prstGeom prst="rect">
          <a:avLst/>
        </a:prstGeom>
        <a:noFill/>
        <a:ln w="9525">
          <a:noFill/>
          <a:miter lim="800000"/>
          <a:headEnd/>
          <a:tailEnd/>
        </a:ln>
      </xdr:spPr>
    </xdr:sp>
    <xdr:clientData/>
  </xdr:twoCellAnchor>
  <xdr:twoCellAnchor>
    <xdr:from>
      <xdr:col>14</xdr:col>
      <xdr:colOff>542701</xdr:colOff>
      <xdr:row>1</xdr:row>
      <xdr:rowOff>131165</xdr:rowOff>
    </xdr:from>
    <xdr:to>
      <xdr:col>18</xdr:col>
      <xdr:colOff>285974</xdr:colOff>
      <xdr:row>7</xdr:row>
      <xdr:rowOff>3586</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134501" y="289915"/>
          <a:ext cx="2181673" cy="824921"/>
        </a:xfrm>
        <a:prstGeom prst="rect">
          <a:avLst/>
        </a:prstGeom>
        <a:noFill/>
        <a:ln w="9525">
          <a:noFill/>
          <a:miter lim="800000"/>
          <a:headEnd/>
          <a:tailEnd/>
        </a:ln>
      </xdr:spPr>
    </xdr:pic>
    <xdr:clientData/>
  </xdr:twoCellAnchor>
  <xdr:twoCellAnchor>
    <xdr:from>
      <xdr:col>0</xdr:col>
      <xdr:colOff>135467</xdr:colOff>
      <xdr:row>1</xdr:row>
      <xdr:rowOff>50800</xdr:rowOff>
    </xdr:from>
    <xdr:to>
      <xdr:col>4</xdr:col>
      <xdr:colOff>211667</xdr:colOff>
      <xdr:row>7</xdr:row>
      <xdr:rowOff>33867</xdr:rowOff>
    </xdr:to>
    <xdr:pic>
      <xdr:nvPicPr>
        <xdr:cNvPr id="11" name="Picture 6" descr="cid:image001.png@01D1AAB2.A3ADEC0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r:link="rId4" cstate="print"/>
        <a:srcRect/>
        <a:stretch>
          <a:fillRect/>
        </a:stretch>
      </xdr:blipFill>
      <xdr:spPr bwMode="auto">
        <a:xfrm>
          <a:off x="135467" y="209550"/>
          <a:ext cx="4572000" cy="935567"/>
        </a:xfrm>
        <a:prstGeom prst="rect">
          <a:avLst/>
        </a:prstGeom>
        <a:noFill/>
      </xdr:spPr>
    </xdr:pic>
    <xdr:clientData/>
  </xdr:twoCellAnchor>
  <xdr:twoCellAnchor editAs="oneCell">
    <xdr:from>
      <xdr:col>0</xdr:col>
      <xdr:colOff>114300</xdr:colOff>
      <xdr:row>0</xdr:row>
      <xdr:rowOff>30480</xdr:rowOff>
    </xdr:from>
    <xdr:to>
      <xdr:col>3</xdr:col>
      <xdr:colOff>457200</xdr:colOff>
      <xdr:row>8</xdr:row>
      <xdr:rowOff>91440</xdr:rowOff>
    </xdr:to>
    <xdr:sp macro="" textlink="">
      <xdr:nvSpPr>
        <xdr:cNvPr id="12" name="AutoShape 1">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114300" y="30480"/>
          <a:ext cx="4229100" cy="133096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546735</xdr:colOff>
      <xdr:row>1</xdr:row>
      <xdr:rowOff>104775</xdr:rowOff>
    </xdr:from>
    <xdr:to>
      <xdr:col>13</xdr:col>
      <xdr:colOff>451495</xdr:colOff>
      <xdr:row>7</xdr:row>
      <xdr:rowOff>28575</xdr:rowOff>
    </xdr:to>
    <xdr:sp macro="" textlink="">
      <xdr:nvSpPr>
        <xdr:cNvPr id="2" name="Text 14">
          <a:extLst>
            <a:ext uri="{FF2B5EF4-FFF2-40B4-BE49-F238E27FC236}">
              <a16:creationId xmlns:a16="http://schemas.microsoft.com/office/drawing/2014/main" id="{00000000-0008-0000-0200-000002000000}"/>
            </a:ext>
          </a:extLst>
        </xdr:cNvPr>
        <xdr:cNvSpPr txBox="1">
          <a:spLocks noChangeArrowheads="1"/>
        </xdr:cNvSpPr>
      </xdr:nvSpPr>
      <xdr:spPr bwMode="auto">
        <a:xfrm>
          <a:off x="3579495" y="272415"/>
          <a:ext cx="6442720" cy="929640"/>
        </a:xfrm>
        <a:prstGeom prst="rect">
          <a:avLst/>
        </a:prstGeom>
        <a:solidFill>
          <a:srgbClr val="FFFFFF"/>
        </a:solidFill>
        <a:ln w="1">
          <a:noFill/>
          <a:miter lim="800000"/>
          <a:headEnd/>
          <a:tailEnd/>
        </a:ln>
      </xdr:spPr>
      <xdr:txBody>
        <a:bodyPr vertOverflow="clip" wrap="square" lIns="82296" tIns="41148" rIns="82296" bIns="41148" anchor="ctr" upright="1"/>
        <a:lstStyle/>
        <a:p>
          <a:pPr algn="ctr" rtl="0">
            <a:defRPr sz="1000"/>
          </a:pPr>
          <a:r>
            <a:rPr lang="en-GB" sz="1500" b="1" i="1" u="none" strike="noStrike" baseline="0">
              <a:solidFill>
                <a:srgbClr val="000000"/>
              </a:solidFill>
              <a:latin typeface="Wide Latin"/>
            </a:rPr>
            <a:t>NORTHERN IRELAND </a:t>
          </a:r>
        </a:p>
        <a:p>
          <a:pPr algn="ctr" rtl="0">
            <a:defRPr sz="1000"/>
          </a:pPr>
          <a:r>
            <a:rPr lang="en-GB" sz="1500" b="1" i="1" u="none" strike="noStrike" baseline="0">
              <a:solidFill>
                <a:srgbClr val="000000"/>
              </a:solidFill>
              <a:latin typeface="Wide Latin"/>
            </a:rPr>
            <a:t>Animal Feed Statistics</a:t>
          </a:r>
        </a:p>
        <a:p>
          <a:pPr algn="ctr" rtl="0">
            <a:defRPr sz="1000"/>
          </a:pPr>
          <a:r>
            <a:rPr lang="en-GB" sz="1500" b="1" i="1" u="none" strike="noStrike" baseline="0">
              <a:solidFill>
                <a:srgbClr val="000000"/>
              </a:solidFill>
              <a:latin typeface="Wide Latin"/>
            </a:rPr>
            <a:t>2021</a:t>
          </a:r>
        </a:p>
      </xdr:txBody>
    </xdr:sp>
    <xdr:clientData/>
  </xdr:twoCellAnchor>
  <xdr:twoCellAnchor>
    <xdr:from>
      <xdr:col>1</xdr:col>
      <xdr:colOff>68580</xdr:colOff>
      <xdr:row>34</xdr:row>
      <xdr:rowOff>123825</xdr:rowOff>
    </xdr:from>
    <xdr:to>
      <xdr:col>1</xdr:col>
      <xdr:colOff>2767150</xdr:colOff>
      <xdr:row>43</xdr:row>
      <xdr:rowOff>154305</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251460" y="6936105"/>
          <a:ext cx="2698570" cy="153924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a:cs typeface="Arial"/>
            </a:rPr>
            <a:t>Enquiries to: Paul Keatley</a:t>
          </a:r>
        </a:p>
        <a:p>
          <a:pPr rtl="0"/>
          <a:r>
            <a:rPr lang="en-GB" sz="1200" b="1" i="0" u="none" strike="noStrike" baseline="0">
              <a:solidFill>
                <a:srgbClr val="000000"/>
              </a:solidFill>
              <a:latin typeface="Arial"/>
              <a:cs typeface="Arial"/>
            </a:rPr>
            <a:t>Economics &amp; Evaluations Branch</a:t>
          </a:r>
        </a:p>
        <a:p>
          <a:pPr algn="l" rtl="0">
            <a:defRPr sz="1000"/>
          </a:pPr>
          <a:r>
            <a:rPr lang="en-GB" sz="1200" b="1" i="0" u="none" strike="noStrike" baseline="0">
              <a:solidFill>
                <a:srgbClr val="000000"/>
              </a:solidFill>
              <a:latin typeface="Arial"/>
              <a:cs typeface="Arial"/>
            </a:rPr>
            <a:t>Room 817, Dundonald House</a:t>
          </a:r>
        </a:p>
        <a:p>
          <a:pPr algn="l" rtl="0">
            <a:defRPr sz="1000"/>
          </a:pPr>
          <a:r>
            <a:rPr lang="en-GB" sz="1200" b="1" i="0" u="none" strike="noStrike" baseline="0">
              <a:solidFill>
                <a:srgbClr val="000000"/>
              </a:solidFill>
              <a:latin typeface="Arial"/>
              <a:cs typeface="Arial"/>
            </a:rPr>
            <a:t>Upper Newtownards Road</a:t>
          </a:r>
        </a:p>
        <a:p>
          <a:pPr algn="l" rtl="0">
            <a:defRPr sz="1000"/>
          </a:pPr>
          <a:r>
            <a:rPr lang="en-GB" sz="1200" b="1" i="0" u="none" strike="noStrike" baseline="0">
              <a:solidFill>
                <a:srgbClr val="000000"/>
              </a:solidFill>
              <a:latin typeface="Arial"/>
              <a:cs typeface="Arial"/>
            </a:rPr>
            <a:t>Ballymiscaw</a:t>
          </a:r>
        </a:p>
        <a:p>
          <a:pPr algn="l" rtl="0">
            <a:defRPr sz="1000"/>
          </a:pPr>
          <a:r>
            <a:rPr lang="en-GB" sz="1200" b="1" i="0" u="none" strike="noStrike" baseline="0">
              <a:solidFill>
                <a:srgbClr val="000000"/>
              </a:solidFill>
              <a:latin typeface="Arial"/>
              <a:cs typeface="Arial"/>
            </a:rPr>
            <a:t>BELFAST BT4 3SB</a:t>
          </a:r>
          <a:endParaRPr lang="en-GB" sz="950" b="1" i="0" u="none" strike="noStrike" baseline="0">
            <a:solidFill>
              <a:srgbClr val="000000"/>
            </a:solidFill>
            <a:latin typeface="Arial"/>
            <a:cs typeface="Arial"/>
          </a:endParaRP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14</xdr:col>
      <xdr:colOff>306705</xdr:colOff>
      <xdr:row>35</xdr:row>
      <xdr:rowOff>76200</xdr:rowOff>
    </xdr:from>
    <xdr:to>
      <xdr:col>20</xdr:col>
      <xdr:colOff>962</xdr:colOff>
      <xdr:row>39</xdr:row>
      <xdr:rowOff>106680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10471785" y="7056120"/>
          <a:ext cx="2902277" cy="70104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a:cs typeface="Arial"/>
            </a:rPr>
            <a:t>Telephone (028) 90524640</a:t>
          </a:r>
        </a:p>
        <a:p>
          <a:pPr algn="l" rtl="0">
            <a:defRPr sz="1000"/>
          </a:pPr>
          <a:r>
            <a:rPr lang="en-GB" sz="1200" b="1" i="0" u="none" strike="noStrike" baseline="0">
              <a:solidFill>
                <a:srgbClr val="000000"/>
              </a:solidFill>
              <a:latin typeface="Arial"/>
              <a:cs typeface="Arial"/>
            </a:rPr>
            <a:t>E-mail aeb.econstats@daera-ni.gov.uk</a:t>
          </a:r>
          <a:endParaRPr lang="en-GB" sz="950" b="1" i="0" u="none" strike="noStrike" baseline="0">
            <a:solidFill>
              <a:srgbClr val="000000"/>
            </a:solidFill>
            <a:latin typeface="Arial"/>
            <a:cs typeface="Arial"/>
          </a:endParaRPr>
        </a:p>
        <a:p>
          <a:pPr algn="l" rtl="0">
            <a:defRPr sz="1000"/>
          </a:pPr>
          <a:endParaRPr lang="en-GB" sz="950" b="1"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40005</xdr:rowOff>
    </xdr:from>
    <xdr:to>
      <xdr:col>0</xdr:col>
      <xdr:colOff>0</xdr:colOff>
      <xdr:row>12</xdr:row>
      <xdr:rowOff>167</xdr:rowOff>
    </xdr:to>
    <xdr:sp macro="" textlink="">
      <xdr:nvSpPr>
        <xdr:cNvPr id="2" name="Text 3">
          <a:extLst>
            <a:ext uri="{FF2B5EF4-FFF2-40B4-BE49-F238E27FC236}">
              <a16:creationId xmlns:a16="http://schemas.microsoft.com/office/drawing/2014/main" id="{00000000-0008-0000-0300-000002000000}"/>
            </a:ext>
          </a:extLst>
        </xdr:cNvPr>
        <xdr:cNvSpPr txBox="1">
          <a:spLocks noChangeArrowheads="1"/>
        </xdr:cNvSpPr>
      </xdr:nvSpPr>
      <xdr:spPr bwMode="auto">
        <a:xfrm>
          <a:off x="0" y="1754505"/>
          <a:ext cx="0" cy="805982"/>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GB" sz="900" b="0" i="0" u="none" strike="noStrike" baseline="0">
              <a:solidFill>
                <a:srgbClr val="000000"/>
              </a:solidFill>
              <a:latin typeface="Arial"/>
              <a:cs typeface="Arial"/>
            </a:rPr>
            <a:t>Both whole and processed grains (apart from by-products) of any description and the screenings from processing</a:t>
          </a:r>
        </a:p>
        <a:p>
          <a:pPr algn="l" rtl="0">
            <a:defRPr sz="1000"/>
          </a:pPr>
          <a:endParaRPr lang="en-GB" sz="900" b="0" i="0" u="none" strike="noStrike" baseline="0">
            <a:solidFill>
              <a:srgbClr val="000000"/>
            </a:solidFill>
            <a:latin typeface="Arial"/>
            <a:cs typeface="Arial"/>
          </a:endParaRPr>
        </a:p>
      </xdr:txBody>
    </xdr:sp>
    <xdr:clientData/>
  </xdr:twoCellAnchor>
  <xdr:twoCellAnchor editAs="oneCell">
    <xdr:from>
      <xdr:col>1</xdr:col>
      <xdr:colOff>3722370</xdr:colOff>
      <xdr:row>1</xdr:row>
      <xdr:rowOff>0</xdr:rowOff>
    </xdr:from>
    <xdr:to>
      <xdr:col>6</xdr:col>
      <xdr:colOff>261135</xdr:colOff>
      <xdr:row>5</xdr:row>
      <xdr:rowOff>114300</xdr:rowOff>
    </xdr:to>
    <xdr:sp macro="" textlink="">
      <xdr:nvSpPr>
        <xdr:cNvPr id="3" name="Text 14">
          <a:extLst>
            <a:ext uri="{FF2B5EF4-FFF2-40B4-BE49-F238E27FC236}">
              <a16:creationId xmlns:a16="http://schemas.microsoft.com/office/drawing/2014/main" id="{00000000-0008-0000-0300-000003000000}"/>
            </a:ext>
          </a:extLst>
        </xdr:cNvPr>
        <xdr:cNvSpPr txBox="1">
          <a:spLocks noChangeArrowheads="1"/>
        </xdr:cNvSpPr>
      </xdr:nvSpPr>
      <xdr:spPr bwMode="auto">
        <a:xfrm>
          <a:off x="3905250" y="175260"/>
          <a:ext cx="4547385" cy="815340"/>
        </a:xfrm>
        <a:prstGeom prst="rect">
          <a:avLst/>
        </a:prstGeom>
        <a:solidFill>
          <a:srgbClr val="FFFFFF"/>
        </a:solidFill>
        <a:ln w="1">
          <a:noFill/>
          <a:miter lim="800000"/>
          <a:headEnd/>
          <a:tailEnd/>
        </a:ln>
      </xdr:spPr>
      <xdr:txBody>
        <a:bodyPr vertOverflow="clip" wrap="square" lIns="82296" tIns="41148" rIns="82296" bIns="41148" anchor="ctr" upright="1"/>
        <a:lstStyle/>
        <a:p>
          <a:pPr algn="ctr" rtl="0">
            <a:defRPr sz="1000"/>
          </a:pPr>
          <a:r>
            <a:rPr lang="en-GB" sz="1500" b="1" i="1" u="none" strike="noStrike" baseline="0">
              <a:solidFill>
                <a:srgbClr val="000000"/>
              </a:solidFill>
              <a:latin typeface="Wide Latin"/>
            </a:rPr>
            <a:t>NORTHERN IRELAND </a:t>
          </a:r>
        </a:p>
        <a:p>
          <a:pPr algn="ctr" rtl="0">
            <a:defRPr sz="1000"/>
          </a:pPr>
          <a:r>
            <a:rPr lang="en-GB" sz="1500" b="1" i="1" u="none" strike="noStrike" baseline="0">
              <a:solidFill>
                <a:srgbClr val="000000"/>
              </a:solidFill>
              <a:latin typeface="Wide Latin"/>
            </a:rPr>
            <a:t>Animal Feed Statistics</a:t>
          </a:r>
        </a:p>
        <a:p>
          <a:pPr algn="ctr" rtl="0">
            <a:defRPr sz="1000"/>
          </a:pPr>
          <a:r>
            <a:rPr lang="en-GB" sz="1500" b="1" i="1" u="none" strike="noStrike" baseline="0">
              <a:solidFill>
                <a:srgbClr val="000000"/>
              </a:solidFill>
              <a:latin typeface="Wide Latin"/>
            </a:rPr>
            <a:t>2021</a:t>
          </a:r>
        </a:p>
        <a:p>
          <a:pPr algn="ctr" rtl="0">
            <a:defRPr sz="1000"/>
          </a:pPr>
          <a:endParaRPr lang="en-GB" sz="1500" b="1" i="1" u="none" strike="noStrike" baseline="0">
            <a:solidFill>
              <a:srgbClr val="000000"/>
            </a:solidFill>
            <a:latin typeface="Wide Latin"/>
          </a:endParaRPr>
        </a:p>
      </xdr:txBody>
    </xdr:sp>
    <xdr:clientData/>
  </xdr:twoCellAnchor>
  <xdr:twoCellAnchor>
    <xdr:from>
      <xdr:col>1</xdr:col>
      <xdr:colOff>91440</xdr:colOff>
      <xdr:row>35</xdr:row>
      <xdr:rowOff>30480</xdr:rowOff>
    </xdr:from>
    <xdr:to>
      <xdr:col>1</xdr:col>
      <xdr:colOff>2782470</xdr:colOff>
      <xdr:row>43</xdr:row>
      <xdr:rowOff>80096</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74320" y="8023860"/>
          <a:ext cx="2691030" cy="1451696"/>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pitchFamily="34" charset="0"/>
              <a:cs typeface="Arial" pitchFamily="34" charset="0"/>
            </a:rPr>
            <a:t>Enquiries to: Paul Keatley</a:t>
          </a:r>
          <a:endParaRPr lang="en-GB" sz="1200">
            <a:latin typeface="Arial" pitchFamily="34" charset="0"/>
            <a:ea typeface="+mn-ea"/>
            <a:cs typeface="Arial" pitchFamily="34" charset="0"/>
          </a:endParaRPr>
        </a:p>
        <a:p>
          <a:pPr algn="l" rtl="0">
            <a:defRPr sz="1000"/>
          </a:pPr>
          <a:r>
            <a:rPr lang="en-GB" sz="1200" b="1" i="0" u="none" strike="noStrike" baseline="0">
              <a:solidFill>
                <a:srgbClr val="000000"/>
              </a:solidFill>
              <a:latin typeface="Arial" pitchFamily="34" charset="0"/>
              <a:cs typeface="Arial" pitchFamily="34" charset="0"/>
            </a:rPr>
            <a:t>Economics &amp; Evaluations Branch</a:t>
          </a:r>
        </a:p>
        <a:p>
          <a:pPr algn="l" rtl="0">
            <a:defRPr sz="1000"/>
          </a:pPr>
          <a:r>
            <a:rPr lang="en-GB" sz="1200" b="1" i="0" u="none" strike="noStrike" baseline="0">
              <a:solidFill>
                <a:srgbClr val="000000"/>
              </a:solidFill>
              <a:latin typeface="Arial" pitchFamily="34" charset="0"/>
              <a:cs typeface="Arial" pitchFamily="34" charset="0"/>
            </a:rPr>
            <a:t>Room 817, Dundonald House</a:t>
          </a:r>
        </a:p>
        <a:p>
          <a:pPr algn="l" rtl="0">
            <a:defRPr sz="1000"/>
          </a:pPr>
          <a:r>
            <a:rPr lang="en-GB" sz="1200" b="1" i="0" u="none" strike="noStrike" baseline="0">
              <a:solidFill>
                <a:srgbClr val="000000"/>
              </a:solidFill>
              <a:latin typeface="Arial" pitchFamily="34" charset="0"/>
              <a:cs typeface="Arial" pitchFamily="34" charset="0"/>
            </a:rPr>
            <a:t>Upper Newtownards Road</a:t>
          </a:r>
        </a:p>
        <a:p>
          <a:pPr algn="l" rtl="0">
            <a:defRPr sz="1000"/>
          </a:pPr>
          <a:r>
            <a:rPr lang="en-GB" sz="1200" b="1" i="0" u="none" strike="noStrike" baseline="0">
              <a:solidFill>
                <a:srgbClr val="000000"/>
              </a:solidFill>
              <a:latin typeface="Arial" pitchFamily="34" charset="0"/>
              <a:cs typeface="Arial" pitchFamily="34" charset="0"/>
            </a:rPr>
            <a:t>Ballymiscaw</a:t>
          </a:r>
        </a:p>
        <a:p>
          <a:pPr algn="l" rtl="0">
            <a:defRPr sz="1000"/>
          </a:pPr>
          <a:r>
            <a:rPr lang="en-GB" sz="1200" b="1" i="0" u="none" strike="noStrike" baseline="0">
              <a:solidFill>
                <a:srgbClr val="000000"/>
              </a:solidFill>
              <a:latin typeface="Arial" pitchFamily="34" charset="0"/>
              <a:cs typeface="Arial" pitchFamily="34" charset="0"/>
            </a:rPr>
            <a:t>BELFAST BT4 3SB</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6</xdr:col>
      <xdr:colOff>552450</xdr:colOff>
      <xdr:row>35</xdr:row>
      <xdr:rowOff>0</xdr:rowOff>
    </xdr:from>
    <xdr:to>
      <xdr:col>11</xdr:col>
      <xdr:colOff>337187</xdr:colOff>
      <xdr:row>39</xdr:row>
      <xdr:rowOff>114349</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8743950" y="7993380"/>
          <a:ext cx="3168017" cy="81538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a:cs typeface="Arial"/>
            </a:rPr>
            <a:t>Telephone (028) 90524640</a:t>
          </a:r>
        </a:p>
        <a:p>
          <a:pPr algn="l" rtl="0">
            <a:defRPr sz="1000"/>
          </a:pPr>
          <a:r>
            <a:rPr lang="en-GB" sz="1200" b="1" i="0" u="none" strike="noStrike" baseline="0">
              <a:solidFill>
                <a:srgbClr val="000000"/>
              </a:solidFill>
              <a:latin typeface="Arial"/>
              <a:cs typeface="Arial"/>
            </a:rPr>
            <a:t>E-mail aeb.econstats@daera-ni.gov.uk</a:t>
          </a:r>
          <a:endParaRPr lang="en-GB" sz="950" b="1" i="0" u="none" strike="noStrike" baseline="0">
            <a:solidFill>
              <a:srgbClr val="000000"/>
            </a:solidFill>
            <a:latin typeface="Arial"/>
            <a:cs typeface="Arial"/>
          </a:endParaRPr>
        </a:p>
        <a:p>
          <a:pPr algn="l" rtl="0">
            <a:defRPr sz="1000"/>
          </a:pPr>
          <a:endParaRPr lang="en-GB" sz="950" b="1"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11</xdr:row>
      <xdr:rowOff>7620</xdr:rowOff>
    </xdr:from>
    <xdr:to>
      <xdr:col>0</xdr:col>
      <xdr:colOff>0</xdr:colOff>
      <xdr:row>14</xdr:row>
      <xdr:rowOff>70</xdr:rowOff>
    </xdr:to>
    <xdr:sp macro="" textlink="">
      <xdr:nvSpPr>
        <xdr:cNvPr id="11265" name="Text 3">
          <a:extLst>
            <a:ext uri="{FF2B5EF4-FFF2-40B4-BE49-F238E27FC236}">
              <a16:creationId xmlns:a16="http://schemas.microsoft.com/office/drawing/2014/main" id="{00000000-0008-0000-0400-0000012C0000}"/>
            </a:ext>
          </a:extLst>
        </xdr:cNvPr>
        <xdr:cNvSpPr txBox="1">
          <a:spLocks noChangeArrowheads="1"/>
        </xdr:cNvSpPr>
      </xdr:nvSpPr>
      <xdr:spPr bwMode="auto">
        <a:xfrm>
          <a:off x="0" y="2080260"/>
          <a:ext cx="0" cy="830580"/>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GB" sz="900" b="0" i="0" u="none" strike="noStrike" baseline="0">
              <a:solidFill>
                <a:srgbClr val="000000"/>
              </a:solidFill>
              <a:latin typeface="Arial"/>
              <a:cs typeface="Arial"/>
            </a:rPr>
            <a:t>Both whole and processed grains (apart from by-products) of any description and the screenings from processing</a:t>
          </a:r>
        </a:p>
        <a:p>
          <a:pPr algn="l" rtl="0">
            <a:defRPr sz="1000"/>
          </a:pPr>
          <a:endParaRPr lang="en-GB" sz="900" b="0" i="0" u="none" strike="noStrike" baseline="0">
            <a:solidFill>
              <a:srgbClr val="000000"/>
            </a:solidFill>
            <a:latin typeface="Arial"/>
            <a:cs typeface="Arial"/>
          </a:endParaRPr>
        </a:p>
      </xdr:txBody>
    </xdr:sp>
    <xdr:clientData/>
  </xdr:twoCellAnchor>
  <xdr:twoCellAnchor editAs="oneCell">
    <xdr:from>
      <xdr:col>1</xdr:col>
      <xdr:colOff>4145280</xdr:colOff>
      <xdr:row>2</xdr:row>
      <xdr:rowOff>0</xdr:rowOff>
    </xdr:from>
    <xdr:to>
      <xdr:col>7</xdr:col>
      <xdr:colOff>8577</xdr:colOff>
      <xdr:row>6</xdr:row>
      <xdr:rowOff>123264</xdr:rowOff>
    </xdr:to>
    <xdr:sp macro="" textlink="">
      <xdr:nvSpPr>
        <xdr:cNvPr id="11266" name="Text 14">
          <a:extLst>
            <a:ext uri="{FF2B5EF4-FFF2-40B4-BE49-F238E27FC236}">
              <a16:creationId xmlns:a16="http://schemas.microsoft.com/office/drawing/2014/main" id="{00000000-0008-0000-0400-0000022C0000}"/>
            </a:ext>
          </a:extLst>
        </xdr:cNvPr>
        <xdr:cNvSpPr txBox="1">
          <a:spLocks noChangeArrowheads="1"/>
        </xdr:cNvSpPr>
      </xdr:nvSpPr>
      <xdr:spPr bwMode="auto">
        <a:xfrm>
          <a:off x="4324574" y="358588"/>
          <a:ext cx="4382725" cy="840441"/>
        </a:xfrm>
        <a:prstGeom prst="rect">
          <a:avLst/>
        </a:prstGeom>
        <a:solidFill>
          <a:srgbClr val="FFFFFF"/>
        </a:solidFill>
        <a:ln w="1">
          <a:noFill/>
          <a:miter lim="800000"/>
          <a:headEnd/>
          <a:tailEnd/>
        </a:ln>
      </xdr:spPr>
      <xdr:txBody>
        <a:bodyPr vertOverflow="clip" wrap="square" lIns="82296" tIns="41148" rIns="82296" bIns="41148" anchor="ctr" upright="1"/>
        <a:lstStyle/>
        <a:p>
          <a:pPr algn="ctr" rtl="0">
            <a:defRPr sz="1000"/>
          </a:pPr>
          <a:r>
            <a:rPr lang="en-GB" sz="1500" b="1" i="1" u="none" strike="noStrike" baseline="0">
              <a:solidFill>
                <a:srgbClr val="000000"/>
              </a:solidFill>
              <a:latin typeface="Wide Latin"/>
            </a:rPr>
            <a:t>NORTHERN IRELAND </a:t>
          </a:r>
        </a:p>
        <a:p>
          <a:pPr algn="ctr" rtl="0">
            <a:defRPr sz="1000"/>
          </a:pPr>
          <a:r>
            <a:rPr lang="en-GB" sz="1500" b="1" i="1" u="none" strike="noStrike" baseline="0">
              <a:solidFill>
                <a:srgbClr val="000000"/>
              </a:solidFill>
              <a:latin typeface="Wide Latin"/>
            </a:rPr>
            <a:t>Animal Feed Statistics</a:t>
          </a:r>
        </a:p>
        <a:p>
          <a:pPr algn="ctr" rtl="0">
            <a:defRPr sz="1000"/>
          </a:pPr>
          <a:r>
            <a:rPr lang="en-GB" sz="1500" b="1" i="1" u="none" strike="noStrike" baseline="0">
              <a:solidFill>
                <a:srgbClr val="000000"/>
              </a:solidFill>
              <a:latin typeface="Wide Latin"/>
            </a:rPr>
            <a:t>2021</a:t>
          </a:r>
        </a:p>
      </xdr:txBody>
    </xdr:sp>
    <xdr:clientData/>
  </xdr:twoCellAnchor>
  <xdr:twoCellAnchor>
    <xdr:from>
      <xdr:col>1</xdr:col>
      <xdr:colOff>83820</xdr:colOff>
      <xdr:row>38</xdr:row>
      <xdr:rowOff>76200</xdr:rowOff>
    </xdr:from>
    <xdr:to>
      <xdr:col>1</xdr:col>
      <xdr:colOff>2781962</xdr:colOff>
      <xdr:row>47</xdr:row>
      <xdr:rowOff>78</xdr:rowOff>
    </xdr:to>
    <xdr:sp macro="" textlink="">
      <xdr:nvSpPr>
        <xdr:cNvPr id="11267" name="Text Box 3">
          <a:extLst>
            <a:ext uri="{FF2B5EF4-FFF2-40B4-BE49-F238E27FC236}">
              <a16:creationId xmlns:a16="http://schemas.microsoft.com/office/drawing/2014/main" id="{00000000-0008-0000-0400-0000032C0000}"/>
            </a:ext>
          </a:extLst>
        </xdr:cNvPr>
        <xdr:cNvSpPr txBox="1">
          <a:spLocks noChangeArrowheads="1"/>
        </xdr:cNvSpPr>
      </xdr:nvSpPr>
      <xdr:spPr bwMode="auto">
        <a:xfrm>
          <a:off x="266700" y="8176260"/>
          <a:ext cx="2697480" cy="150114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pitchFamily="34" charset="0"/>
              <a:cs typeface="Arial" pitchFamily="34" charset="0"/>
            </a:rPr>
            <a:t>Enquiries to: Paul Keatley</a:t>
          </a:r>
          <a:endParaRPr lang="en-GB" sz="1200">
            <a:latin typeface="Arial" pitchFamily="34" charset="0"/>
            <a:cs typeface="Arial" pitchFamily="34" charset="0"/>
          </a:endParaRPr>
        </a:p>
        <a:p>
          <a:pPr algn="l" rtl="0">
            <a:defRPr sz="1000"/>
          </a:pPr>
          <a:r>
            <a:rPr lang="en-GB" sz="1200" b="1" i="0" u="none" strike="noStrike" baseline="0">
              <a:solidFill>
                <a:srgbClr val="000000"/>
              </a:solidFill>
              <a:latin typeface="Arial" pitchFamily="34" charset="0"/>
              <a:cs typeface="Arial" pitchFamily="34" charset="0"/>
            </a:rPr>
            <a:t>Economics &amp; Evaluations Branch</a:t>
          </a:r>
        </a:p>
        <a:p>
          <a:pPr algn="l" rtl="0">
            <a:defRPr sz="1000"/>
          </a:pPr>
          <a:r>
            <a:rPr lang="en-GB" sz="1200" b="1" i="0" u="none" strike="noStrike" baseline="0">
              <a:solidFill>
                <a:srgbClr val="000000"/>
              </a:solidFill>
              <a:latin typeface="Arial" pitchFamily="34" charset="0"/>
              <a:cs typeface="Arial" pitchFamily="34" charset="0"/>
            </a:rPr>
            <a:t>Room 817, Dundonald House</a:t>
          </a:r>
        </a:p>
        <a:p>
          <a:pPr algn="l" rtl="0">
            <a:defRPr sz="1000"/>
          </a:pPr>
          <a:r>
            <a:rPr lang="en-GB" sz="1200" b="1" i="0" u="none" strike="noStrike" baseline="0">
              <a:solidFill>
                <a:srgbClr val="000000"/>
              </a:solidFill>
              <a:latin typeface="Arial" pitchFamily="34" charset="0"/>
              <a:cs typeface="Arial" pitchFamily="34" charset="0"/>
            </a:rPr>
            <a:t>Upper Newtownards Road</a:t>
          </a:r>
        </a:p>
        <a:p>
          <a:pPr algn="l" rtl="0">
            <a:defRPr sz="1000"/>
          </a:pPr>
          <a:r>
            <a:rPr lang="en-GB" sz="1200" b="1" i="0" u="none" strike="noStrike" baseline="0">
              <a:solidFill>
                <a:srgbClr val="000000"/>
              </a:solidFill>
              <a:latin typeface="Arial" pitchFamily="34" charset="0"/>
              <a:cs typeface="Arial" pitchFamily="34" charset="0"/>
            </a:rPr>
            <a:t>Ballymiscaw</a:t>
          </a:r>
        </a:p>
        <a:p>
          <a:pPr algn="l" rtl="0">
            <a:defRPr sz="1000"/>
          </a:pPr>
          <a:r>
            <a:rPr lang="en-GB" sz="1200" b="1" i="0" u="none" strike="noStrike" baseline="0">
              <a:solidFill>
                <a:srgbClr val="000000"/>
              </a:solidFill>
              <a:latin typeface="Arial" pitchFamily="34" charset="0"/>
              <a:cs typeface="Arial" pitchFamily="34" charset="0"/>
            </a:rPr>
            <a:t>BELFAST BT4 3SB</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7</xdr:col>
      <xdr:colOff>182880</xdr:colOff>
      <xdr:row>38</xdr:row>
      <xdr:rowOff>76200</xdr:rowOff>
    </xdr:from>
    <xdr:to>
      <xdr:col>11</xdr:col>
      <xdr:colOff>605621</xdr:colOff>
      <xdr:row>42</xdr:row>
      <xdr:rowOff>106680</xdr:rowOff>
    </xdr:to>
    <xdr:sp macro="" textlink="">
      <xdr:nvSpPr>
        <xdr:cNvPr id="11268" name="Text Box 4">
          <a:extLst>
            <a:ext uri="{FF2B5EF4-FFF2-40B4-BE49-F238E27FC236}">
              <a16:creationId xmlns:a16="http://schemas.microsoft.com/office/drawing/2014/main" id="{00000000-0008-0000-0400-0000042C0000}"/>
            </a:ext>
          </a:extLst>
        </xdr:cNvPr>
        <xdr:cNvSpPr txBox="1">
          <a:spLocks noChangeArrowheads="1"/>
        </xdr:cNvSpPr>
      </xdr:nvSpPr>
      <xdr:spPr bwMode="auto">
        <a:xfrm>
          <a:off x="9364980" y="8191500"/>
          <a:ext cx="3154680" cy="73152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a:cs typeface="Arial"/>
            </a:rPr>
            <a:t>Telephone (028) 90524640</a:t>
          </a:r>
        </a:p>
        <a:p>
          <a:pPr algn="l" rtl="0">
            <a:defRPr sz="1000"/>
          </a:pPr>
          <a:r>
            <a:rPr lang="en-GB" sz="1200" b="1" i="0" u="none" strike="noStrike" baseline="0">
              <a:solidFill>
                <a:srgbClr val="000000"/>
              </a:solidFill>
              <a:latin typeface="Arial"/>
              <a:cs typeface="Arial"/>
            </a:rPr>
            <a:t>E-mail aeb.econstats@daera-ni.gov.uk</a:t>
          </a:r>
          <a:endParaRPr lang="en-GB" sz="950" b="1" i="0" u="none" strike="noStrike" baseline="0">
            <a:solidFill>
              <a:srgbClr val="000000"/>
            </a:solidFill>
            <a:latin typeface="Arial"/>
            <a:cs typeface="Arial"/>
          </a:endParaRPr>
        </a:p>
        <a:p>
          <a:pPr algn="l" rtl="0">
            <a:defRPr sz="1000"/>
          </a:pPr>
          <a:endParaRPr lang="en-GB" sz="950" b="1"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365760</xdr:colOff>
      <xdr:row>0</xdr:row>
      <xdr:rowOff>685800</xdr:rowOff>
    </xdr:from>
    <xdr:to>
      <xdr:col>23</xdr:col>
      <xdr:colOff>198120</xdr:colOff>
      <xdr:row>16</xdr:row>
      <xdr:rowOff>144780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17</xdr:row>
      <xdr:rowOff>7620</xdr:rowOff>
    </xdr:from>
    <xdr:to>
      <xdr:col>11</xdr:col>
      <xdr:colOff>45720</xdr:colOff>
      <xdr:row>29</xdr:row>
      <xdr:rowOff>22860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114300</xdr:colOff>
      <xdr:row>17</xdr:row>
      <xdr:rowOff>68580</xdr:rowOff>
    </xdr:from>
    <xdr:to>
      <xdr:col>27</xdr:col>
      <xdr:colOff>213360</xdr:colOff>
      <xdr:row>29</xdr:row>
      <xdr:rowOff>144780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106680</xdr:colOff>
      <xdr:row>30</xdr:row>
      <xdr:rowOff>45720</xdr:rowOff>
    </xdr:from>
    <xdr:to>
      <xdr:col>11</xdr:col>
      <xdr:colOff>45720</xdr:colOff>
      <xdr:row>42</xdr:row>
      <xdr:rowOff>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83820</xdr:colOff>
      <xdr:row>30</xdr:row>
      <xdr:rowOff>22860</xdr:rowOff>
    </xdr:from>
    <xdr:to>
      <xdr:col>19</xdr:col>
      <xdr:colOff>0</xdr:colOff>
      <xdr:row>42</xdr:row>
      <xdr:rowOff>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320040</xdr:colOff>
      <xdr:row>43</xdr:row>
      <xdr:rowOff>137160</xdr:rowOff>
    </xdr:from>
    <xdr:to>
      <xdr:col>10</xdr:col>
      <xdr:colOff>30480</xdr:colOff>
      <xdr:row>43</xdr:row>
      <xdr:rowOff>137160</xdr:rowOff>
    </xdr:to>
    <xdr:sp macro="" textlink="">
      <xdr:nvSpPr>
        <xdr:cNvPr id="7" name="Line 6">
          <a:extLst>
            <a:ext uri="{FF2B5EF4-FFF2-40B4-BE49-F238E27FC236}">
              <a16:creationId xmlns:a16="http://schemas.microsoft.com/office/drawing/2014/main" id="{00000000-0008-0000-0500-000007000000}"/>
            </a:ext>
          </a:extLst>
        </xdr:cNvPr>
        <xdr:cNvSpPr>
          <a:spLocks noChangeShapeType="1"/>
        </xdr:cNvSpPr>
      </xdr:nvSpPr>
      <xdr:spPr bwMode="auto">
        <a:xfrm>
          <a:off x="2628900" y="7658100"/>
          <a:ext cx="876300" cy="0"/>
        </a:xfrm>
        <a:prstGeom prst="line">
          <a:avLst/>
        </a:prstGeom>
        <a:noFill/>
        <a:ln w="9525">
          <a:solidFill>
            <a:srgbClr val="0000FF"/>
          </a:solidFill>
          <a:prstDash val="dash"/>
          <a:round/>
          <a:headEnd/>
          <a:tailEnd/>
        </a:ln>
      </xdr:spPr>
    </xdr:sp>
    <xdr:clientData/>
  </xdr:twoCellAnchor>
  <xdr:twoCellAnchor>
    <xdr:from>
      <xdr:col>12</xdr:col>
      <xdr:colOff>281940</xdr:colOff>
      <xdr:row>43</xdr:row>
      <xdr:rowOff>137160</xdr:rowOff>
    </xdr:from>
    <xdr:to>
      <xdr:col>14</xdr:col>
      <xdr:colOff>365760</xdr:colOff>
      <xdr:row>43</xdr:row>
      <xdr:rowOff>137160</xdr:rowOff>
    </xdr:to>
    <xdr:sp macro="" textlink="">
      <xdr:nvSpPr>
        <xdr:cNvPr id="8" name="Line 7">
          <a:extLst>
            <a:ext uri="{FF2B5EF4-FFF2-40B4-BE49-F238E27FC236}">
              <a16:creationId xmlns:a16="http://schemas.microsoft.com/office/drawing/2014/main" id="{00000000-0008-0000-0500-000008000000}"/>
            </a:ext>
          </a:extLst>
        </xdr:cNvPr>
        <xdr:cNvSpPr>
          <a:spLocks noChangeShapeType="1"/>
        </xdr:cNvSpPr>
      </xdr:nvSpPr>
      <xdr:spPr bwMode="auto">
        <a:xfrm>
          <a:off x="4457700" y="7658100"/>
          <a:ext cx="861060" cy="0"/>
        </a:xfrm>
        <a:prstGeom prst="line">
          <a:avLst/>
        </a:prstGeom>
        <a:noFill/>
        <a:ln w="9525">
          <a:solidFill>
            <a:srgbClr val="FF0000"/>
          </a:solidFill>
          <a:round/>
          <a:headEnd/>
          <a:tailEnd/>
        </a:ln>
      </xdr:spPr>
    </xdr:sp>
    <xdr:clientData/>
  </xdr:twoCellAnchor>
  <xdr:twoCellAnchor>
    <xdr:from>
      <xdr:col>11</xdr:col>
      <xdr:colOff>144780</xdr:colOff>
      <xdr:row>17</xdr:row>
      <xdr:rowOff>22860</xdr:rowOff>
    </xdr:from>
    <xdr:to>
      <xdr:col>19</xdr:col>
      <xdr:colOff>175260</xdr:colOff>
      <xdr:row>30</xdr:row>
      <xdr:rowOff>7620</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129540</xdr:colOff>
      <xdr:row>29</xdr:row>
      <xdr:rowOff>76200</xdr:rowOff>
    </xdr:from>
    <xdr:to>
      <xdr:col>27</xdr:col>
      <xdr:colOff>213360</xdr:colOff>
      <xdr:row>42</xdr:row>
      <xdr:rowOff>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AA66"/>
  <sheetViews>
    <sheetView tabSelected="1" zoomScaleNormal="100" workbookViewId="0">
      <selection activeCell="O9" sqref="O9"/>
    </sheetView>
  </sheetViews>
  <sheetFormatPr defaultColWidth="9.140625" defaultRowHeight="12.75" x14ac:dyDescent="0.2"/>
  <cols>
    <col min="1" max="1" width="2.85546875" style="8" customWidth="1"/>
    <col min="2" max="2" width="44.140625" style="8" customWidth="1"/>
    <col min="3" max="3" width="8.85546875" style="8" customWidth="1"/>
    <col min="4" max="4" width="8.85546875" style="12" customWidth="1"/>
    <col min="5" max="5" width="8.85546875" style="13" customWidth="1"/>
    <col min="6" max="6" width="8.85546875" style="14" customWidth="1"/>
    <col min="7" max="7" width="8.85546875" style="15" customWidth="1"/>
    <col min="8" max="8" width="8.85546875" style="12" customWidth="1"/>
    <col min="9" max="9" width="8.85546875" style="13" customWidth="1"/>
    <col min="10" max="10" width="8.85546875" style="14" customWidth="1"/>
    <col min="11" max="11" width="8.85546875" style="15" customWidth="1"/>
    <col min="12" max="12" width="8.85546875" style="12" customWidth="1"/>
    <col min="13" max="13" width="8.85546875" style="13" customWidth="1"/>
    <col min="14" max="14" width="8.85546875" style="14" customWidth="1"/>
    <col min="15" max="15" width="8.85546875" style="15" customWidth="1"/>
    <col min="16" max="16" width="8.85546875" style="12" customWidth="1"/>
    <col min="17" max="17" width="8.85546875" style="13" customWidth="1"/>
    <col min="18" max="18" width="8.85546875" style="14" customWidth="1"/>
    <col min="19" max="19" width="9.85546875" style="16" customWidth="1"/>
    <col min="20" max="20" width="2.85546875" style="8" customWidth="1"/>
    <col min="21" max="16384" width="9.140625" style="8"/>
  </cols>
  <sheetData>
    <row r="5" spans="1:23" x14ac:dyDescent="0.2">
      <c r="O5" s="15" t="s">
        <v>97</v>
      </c>
    </row>
    <row r="6" spans="1:23" x14ac:dyDescent="0.2">
      <c r="B6"/>
    </row>
    <row r="8" spans="1:23" x14ac:dyDescent="0.2">
      <c r="O8" s="15" t="s">
        <v>97</v>
      </c>
      <c r="P8" s="12" t="s">
        <v>97</v>
      </c>
      <c r="Q8" s="13" t="s">
        <v>97</v>
      </c>
    </row>
    <row r="9" spans="1:23" x14ac:dyDescent="0.2">
      <c r="A9" s="42"/>
      <c r="B9" s="1"/>
      <c r="C9" s="1"/>
      <c r="D9" s="2"/>
      <c r="E9" s="3"/>
      <c r="F9" s="4"/>
      <c r="G9" s="5"/>
      <c r="H9" s="2"/>
      <c r="I9" s="3"/>
      <c r="J9" s="4"/>
      <c r="K9" s="5"/>
      <c r="L9" s="2"/>
      <c r="M9" s="3"/>
      <c r="N9" s="4"/>
      <c r="O9" s="5"/>
      <c r="P9" s="2"/>
      <c r="Q9" s="3"/>
      <c r="R9" s="4"/>
      <c r="S9" s="6"/>
      <c r="T9" s="7"/>
    </row>
    <row r="10" spans="1:23" ht="15" x14ac:dyDescent="0.2">
      <c r="A10" s="1"/>
      <c r="B10" s="74" t="s">
        <v>17</v>
      </c>
      <c r="C10" s="43" t="s">
        <v>20</v>
      </c>
      <c r="D10" s="44"/>
      <c r="E10" s="45"/>
      <c r="F10" s="46"/>
      <c r="G10" s="47"/>
      <c r="H10" s="48"/>
      <c r="I10" s="49"/>
      <c r="J10" s="46"/>
      <c r="K10" s="47"/>
      <c r="L10" s="48"/>
      <c r="M10" s="49"/>
      <c r="N10" s="46"/>
      <c r="O10" s="91"/>
      <c r="P10" s="92"/>
      <c r="Q10" s="93"/>
      <c r="R10" s="94"/>
      <c r="S10" s="50"/>
      <c r="T10" s="7"/>
    </row>
    <row r="11" spans="1:23" ht="15.75" x14ac:dyDescent="0.25">
      <c r="A11" s="1"/>
      <c r="B11" s="75" t="s">
        <v>18</v>
      </c>
      <c r="C11" s="51"/>
      <c r="D11" s="52"/>
      <c r="E11" s="53"/>
      <c r="F11" s="54"/>
      <c r="G11" s="51"/>
      <c r="H11" s="96" t="s">
        <v>97</v>
      </c>
      <c r="I11" s="53"/>
      <c r="J11" s="54"/>
      <c r="K11" s="51"/>
      <c r="L11" s="52"/>
      <c r="M11" s="53"/>
      <c r="N11" s="54"/>
      <c r="O11" s="95"/>
      <c r="P11" s="96"/>
      <c r="Q11" s="97"/>
      <c r="R11" s="98"/>
      <c r="S11" s="99"/>
      <c r="T11" s="7"/>
    </row>
    <row r="12" spans="1:23" ht="15.75" x14ac:dyDescent="0.25">
      <c r="A12" s="1"/>
      <c r="B12" s="75" t="s">
        <v>19</v>
      </c>
      <c r="C12" s="55" t="s">
        <v>0</v>
      </c>
      <c r="D12" s="55" t="s">
        <v>1</v>
      </c>
      <c r="E12" s="55" t="s">
        <v>2</v>
      </c>
      <c r="F12" s="55" t="s">
        <v>3</v>
      </c>
      <c r="G12" s="55" t="s">
        <v>4</v>
      </c>
      <c r="H12" s="55" t="s">
        <v>5</v>
      </c>
      <c r="I12" s="55" t="s">
        <v>6</v>
      </c>
      <c r="J12" s="55" t="s">
        <v>7</v>
      </c>
      <c r="K12" s="55" t="s">
        <v>8</v>
      </c>
      <c r="L12" s="55" t="s">
        <v>9</v>
      </c>
      <c r="M12" s="55" t="s">
        <v>10</v>
      </c>
      <c r="N12" s="55" t="s">
        <v>11</v>
      </c>
      <c r="O12" s="56" t="s">
        <v>12</v>
      </c>
      <c r="P12" s="57" t="s">
        <v>13</v>
      </c>
      <c r="Q12" s="57" t="s">
        <v>14</v>
      </c>
      <c r="R12" s="58" t="s">
        <v>15</v>
      </c>
      <c r="S12" s="59" t="s">
        <v>16</v>
      </c>
      <c r="T12" s="7"/>
    </row>
    <row r="13" spans="1:23" ht="15.75" x14ac:dyDescent="0.25">
      <c r="A13" s="1"/>
      <c r="B13" s="76"/>
      <c r="C13" s="60"/>
      <c r="D13" s="241" t="s">
        <v>97</v>
      </c>
      <c r="E13" s="62"/>
      <c r="F13" s="63"/>
      <c r="G13" s="60"/>
      <c r="H13" s="61"/>
      <c r="I13" s="62"/>
      <c r="J13" s="63"/>
      <c r="K13" s="60"/>
      <c r="L13" s="61"/>
      <c r="M13" s="62"/>
      <c r="N13" s="63"/>
      <c r="O13" s="64"/>
      <c r="P13" s="65"/>
      <c r="Q13" s="65"/>
      <c r="R13" s="66"/>
      <c r="S13" s="59"/>
      <c r="T13" s="7"/>
    </row>
    <row r="14" spans="1:23" ht="17.25" customHeight="1" x14ac:dyDescent="0.25">
      <c r="A14" s="1"/>
      <c r="B14" s="34" t="s">
        <v>51</v>
      </c>
      <c r="C14" s="33">
        <v>3.7999999999999999E-2</v>
      </c>
      <c r="D14" s="33">
        <v>2.1999999999999999E-2</v>
      </c>
      <c r="E14" s="33">
        <v>2.4E-2</v>
      </c>
      <c r="F14" s="33">
        <v>2.5000000000000001E-2</v>
      </c>
      <c r="G14" s="33">
        <v>1.4E-2</v>
      </c>
      <c r="H14" s="33">
        <v>1.4999999999999999E-2</v>
      </c>
      <c r="I14" s="158">
        <v>1.2999999999999999E-2</v>
      </c>
      <c r="J14" s="33">
        <v>1.4E-2</v>
      </c>
      <c r="K14" s="33">
        <v>2.7E-2</v>
      </c>
      <c r="L14" s="181">
        <v>6.4000000000000001E-2</v>
      </c>
      <c r="M14" s="33">
        <v>2.3E-2</v>
      </c>
      <c r="N14" s="33">
        <v>8.1000000000000003E-2</v>
      </c>
      <c r="O14" s="36">
        <f>SUM(C14:E14)</f>
        <v>8.3999999999999991E-2</v>
      </c>
      <c r="P14" s="37">
        <f t="shared" ref="P14:P21" si="0">SUM(F14:H14)</f>
        <v>5.3999999999999999E-2</v>
      </c>
      <c r="Q14" s="37">
        <f>SUM(I14:K14)</f>
        <v>5.3999999999999999E-2</v>
      </c>
      <c r="R14" s="38">
        <f>SUM(L14:N14)</f>
        <v>0.16799999999999998</v>
      </c>
      <c r="S14" s="39">
        <f t="shared" ref="S14:S21" si="1">SUM(O14:R14)</f>
        <v>0.36</v>
      </c>
      <c r="T14" s="7"/>
      <c r="V14" s="173"/>
      <c r="W14" s="173"/>
    </row>
    <row r="15" spans="1:23" ht="17.25" customHeight="1" x14ac:dyDescent="0.25">
      <c r="A15" s="1"/>
      <c r="B15" s="34" t="s">
        <v>52</v>
      </c>
      <c r="C15" s="33">
        <v>7.8029999999999999</v>
      </c>
      <c r="D15" s="33">
        <v>7.468</v>
      </c>
      <c r="E15" s="33">
        <v>8.5579999999999998</v>
      </c>
      <c r="F15" s="33">
        <v>7.1059999999999999</v>
      </c>
      <c r="G15" s="33">
        <v>5.5860000000000003</v>
      </c>
      <c r="H15" s="33">
        <v>5.7359999999999998</v>
      </c>
      <c r="I15" s="158">
        <v>5.2279999999999998</v>
      </c>
      <c r="J15" s="33">
        <v>5.4740000000000002</v>
      </c>
      <c r="K15" s="33">
        <v>6.1420000000000003</v>
      </c>
      <c r="L15" s="181">
        <v>5.9946960000000011</v>
      </c>
      <c r="M15" s="33">
        <v>7.5051620000000003</v>
      </c>
      <c r="N15" s="33">
        <v>8.6393280000000008</v>
      </c>
      <c r="O15" s="36">
        <f>SUM(C15:E15)</f>
        <v>23.829000000000001</v>
      </c>
      <c r="P15" s="37">
        <f t="shared" si="0"/>
        <v>18.428000000000001</v>
      </c>
      <c r="Q15" s="37">
        <f t="shared" ref="Q15:Q21" si="2">SUM(I15:K15)</f>
        <v>16.844000000000001</v>
      </c>
      <c r="R15" s="38">
        <f t="shared" ref="R15:R21" si="3">SUM(L15:N15)</f>
        <v>22.139186000000002</v>
      </c>
      <c r="S15" s="39">
        <f t="shared" si="1"/>
        <v>81.240186000000008</v>
      </c>
      <c r="T15" s="7"/>
      <c r="V15" s="173"/>
      <c r="W15" s="173"/>
    </row>
    <row r="16" spans="1:23" ht="17.25" customHeight="1" x14ac:dyDescent="0.25">
      <c r="A16" s="1"/>
      <c r="B16" s="34" t="s">
        <v>53</v>
      </c>
      <c r="C16" s="33">
        <v>17.292999999999999</v>
      </c>
      <c r="D16" s="33">
        <v>15.1</v>
      </c>
      <c r="E16" s="33">
        <v>16.5</v>
      </c>
      <c r="F16" s="33">
        <v>12.198</v>
      </c>
      <c r="G16" s="33">
        <v>9.5589999999999993</v>
      </c>
      <c r="H16" s="33">
        <v>8.7829999999999995</v>
      </c>
      <c r="I16" s="158">
        <v>9.3559999999999999</v>
      </c>
      <c r="J16" s="33">
        <v>10.257</v>
      </c>
      <c r="K16" s="33">
        <v>12.221</v>
      </c>
      <c r="L16" s="181">
        <v>13.783963</v>
      </c>
      <c r="M16" s="33">
        <v>15.359548999999999</v>
      </c>
      <c r="N16" s="33">
        <v>18.197343</v>
      </c>
      <c r="O16" s="36">
        <f t="shared" ref="O16:O21" si="4">SUM(C16:E16)</f>
        <v>48.893000000000001</v>
      </c>
      <c r="P16" s="37">
        <f t="shared" si="0"/>
        <v>30.54</v>
      </c>
      <c r="Q16" s="37">
        <f t="shared" si="2"/>
        <v>31.834</v>
      </c>
      <c r="R16" s="38">
        <f t="shared" si="3"/>
        <v>47.340855000000005</v>
      </c>
      <c r="S16" s="39">
        <f t="shared" si="1"/>
        <v>158.607855</v>
      </c>
      <c r="T16" s="7"/>
      <c r="V16" s="173"/>
      <c r="W16" s="173"/>
    </row>
    <row r="17" spans="1:23" ht="17.25" customHeight="1" x14ac:dyDescent="0.25">
      <c r="A17" s="1"/>
      <c r="B17" s="34" t="s">
        <v>54</v>
      </c>
      <c r="C17" s="33">
        <v>49.750999999999998</v>
      </c>
      <c r="D17" s="33">
        <v>51.024999999999999</v>
      </c>
      <c r="E17" s="33">
        <v>61.530999999999999</v>
      </c>
      <c r="F17" s="33">
        <v>53.764000000000003</v>
      </c>
      <c r="G17" s="33">
        <v>49.988</v>
      </c>
      <c r="H17" s="33">
        <v>54.348999999999997</v>
      </c>
      <c r="I17" s="158">
        <v>46.744999999999997</v>
      </c>
      <c r="J17" s="33">
        <v>45.295999999999999</v>
      </c>
      <c r="K17" s="33">
        <v>49.49</v>
      </c>
      <c r="L17" s="181">
        <v>43.173045999999999</v>
      </c>
      <c r="M17" s="33">
        <v>51.719975000000005</v>
      </c>
      <c r="N17" s="33">
        <v>60.024805999999998</v>
      </c>
      <c r="O17" s="36">
        <f t="shared" si="4"/>
        <v>162.30699999999999</v>
      </c>
      <c r="P17" s="37">
        <f t="shared" si="0"/>
        <v>158.101</v>
      </c>
      <c r="Q17" s="37">
        <f t="shared" si="2"/>
        <v>141.53100000000001</v>
      </c>
      <c r="R17" s="38">
        <f t="shared" si="3"/>
        <v>154.91782699999999</v>
      </c>
      <c r="S17" s="39">
        <f t="shared" si="1"/>
        <v>616.85682700000007</v>
      </c>
      <c r="T17" s="7"/>
      <c r="V17" s="173"/>
      <c r="W17" s="173"/>
    </row>
    <row r="18" spans="1:23" ht="17.25" customHeight="1" x14ac:dyDescent="0.25">
      <c r="A18" s="1"/>
      <c r="B18" s="34" t="s">
        <v>55</v>
      </c>
      <c r="C18" s="33">
        <v>0.56999999999999995</v>
      </c>
      <c r="D18" s="33">
        <v>0.47899999999999998</v>
      </c>
      <c r="E18" s="33">
        <v>0.499</v>
      </c>
      <c r="F18" s="33">
        <v>0.38800000000000001</v>
      </c>
      <c r="G18" s="33">
        <v>0.30599999999999999</v>
      </c>
      <c r="H18" s="33">
        <v>0.23400000000000001</v>
      </c>
      <c r="I18" s="158">
        <v>0.25700000000000001</v>
      </c>
      <c r="J18" s="33">
        <v>0.27900000000000003</v>
      </c>
      <c r="K18" s="33">
        <v>0.313</v>
      </c>
      <c r="L18" s="181">
        <v>0.43545</v>
      </c>
      <c r="M18" s="33">
        <v>0.41099000000000002</v>
      </c>
      <c r="N18" s="33">
        <v>0.51232999999999995</v>
      </c>
      <c r="O18" s="36">
        <f t="shared" si="4"/>
        <v>1.548</v>
      </c>
      <c r="P18" s="37">
        <f t="shared" si="0"/>
        <v>0.92799999999999994</v>
      </c>
      <c r="Q18" s="37">
        <f t="shared" si="2"/>
        <v>0.84899999999999998</v>
      </c>
      <c r="R18" s="38">
        <f t="shared" si="3"/>
        <v>1.35877</v>
      </c>
      <c r="S18" s="39">
        <f t="shared" si="1"/>
        <v>4.68377</v>
      </c>
      <c r="T18" s="7"/>
      <c r="V18" s="173"/>
      <c r="W18" s="173"/>
    </row>
    <row r="19" spans="1:23" ht="17.25" customHeight="1" x14ac:dyDescent="0.25">
      <c r="A19" s="1"/>
      <c r="B19" s="34" t="s">
        <v>89</v>
      </c>
      <c r="C19" s="33">
        <v>25.422999999999998</v>
      </c>
      <c r="D19" s="33">
        <v>25.619</v>
      </c>
      <c r="E19" s="33">
        <v>27.454000000000001</v>
      </c>
      <c r="F19" s="33">
        <v>21.753</v>
      </c>
      <c r="G19" s="33">
        <v>16.904</v>
      </c>
      <c r="H19" s="33">
        <v>15.172000000000001</v>
      </c>
      <c r="I19" s="158">
        <v>14.347</v>
      </c>
      <c r="J19" s="33">
        <v>16.196000000000002</v>
      </c>
      <c r="K19" s="33">
        <v>19.295999999999999</v>
      </c>
      <c r="L19" s="181">
        <v>20.614010999999998</v>
      </c>
      <c r="M19" s="33">
        <v>25.504608999999991</v>
      </c>
      <c r="N19" s="33">
        <v>28.376535000000004</v>
      </c>
      <c r="O19" s="36">
        <f t="shared" si="4"/>
        <v>78.496000000000009</v>
      </c>
      <c r="P19" s="37">
        <f t="shared" si="0"/>
        <v>53.828999999999994</v>
      </c>
      <c r="Q19" s="37">
        <f t="shared" si="2"/>
        <v>49.838999999999999</v>
      </c>
      <c r="R19" s="38">
        <f t="shared" si="3"/>
        <v>74.495154999999997</v>
      </c>
      <c r="S19" s="39">
        <f t="shared" si="1"/>
        <v>256.659155</v>
      </c>
      <c r="T19" s="7"/>
      <c r="V19" s="173"/>
      <c r="W19" s="173"/>
    </row>
    <row r="20" spans="1:23" ht="17.25" customHeight="1" x14ac:dyDescent="0.25">
      <c r="A20" s="1"/>
      <c r="B20" s="34" t="s">
        <v>90</v>
      </c>
      <c r="C20" s="33">
        <v>21.99</v>
      </c>
      <c r="D20" s="33">
        <v>22.314</v>
      </c>
      <c r="E20" s="33">
        <v>27.138999999999999</v>
      </c>
      <c r="F20" s="33">
        <v>21.327000000000002</v>
      </c>
      <c r="G20" s="33">
        <v>15.487</v>
      </c>
      <c r="H20" s="33">
        <v>15.513999999999999</v>
      </c>
      <c r="I20" s="158">
        <v>13.742000000000001</v>
      </c>
      <c r="J20" s="33">
        <v>13.803000000000001</v>
      </c>
      <c r="K20" s="33">
        <v>17.081</v>
      </c>
      <c r="L20" s="181">
        <v>17.308</v>
      </c>
      <c r="M20" s="33">
        <v>22.189462999999996</v>
      </c>
      <c r="N20" s="33">
        <v>26.246452000000005</v>
      </c>
      <c r="O20" s="36">
        <f t="shared" si="4"/>
        <v>71.442999999999998</v>
      </c>
      <c r="P20" s="37">
        <f t="shared" si="0"/>
        <v>52.328000000000003</v>
      </c>
      <c r="Q20" s="37">
        <f t="shared" si="2"/>
        <v>44.626000000000005</v>
      </c>
      <c r="R20" s="38">
        <f t="shared" si="3"/>
        <v>65.743915000000001</v>
      </c>
      <c r="S20" s="39">
        <f t="shared" si="1"/>
        <v>234.14091500000001</v>
      </c>
      <c r="T20" s="7"/>
      <c r="V20" s="173"/>
      <c r="W20" s="173"/>
    </row>
    <row r="21" spans="1:23" ht="17.25" customHeight="1" thickBot="1" x14ac:dyDescent="0.3">
      <c r="A21" s="1"/>
      <c r="B21" s="77" t="s">
        <v>57</v>
      </c>
      <c r="C21" s="78">
        <v>0.159</v>
      </c>
      <c r="D21" s="78">
        <v>0.16</v>
      </c>
      <c r="E21" s="78">
        <v>0.17699999999999999</v>
      </c>
      <c r="F21" s="78">
        <v>0.14199999999999999</v>
      </c>
      <c r="G21" s="78">
        <v>8.4000000000000005E-2</v>
      </c>
      <c r="H21" s="78">
        <v>0.14000000000000001</v>
      </c>
      <c r="I21" s="159">
        <v>4.5999999999999999E-2</v>
      </c>
      <c r="J21" s="78">
        <v>0.14799999999999999</v>
      </c>
      <c r="K21" s="78">
        <v>0.26400000000000001</v>
      </c>
      <c r="L21" s="182">
        <v>0.32700000000000001</v>
      </c>
      <c r="M21" s="78">
        <v>0.39100000000000001</v>
      </c>
      <c r="N21" s="78">
        <v>0.65800000000000003</v>
      </c>
      <c r="O21" s="36">
        <f t="shared" si="4"/>
        <v>0.496</v>
      </c>
      <c r="P21" s="79">
        <f t="shared" si="0"/>
        <v>0.36599999999999999</v>
      </c>
      <c r="Q21" s="79">
        <f t="shared" si="2"/>
        <v>0.45800000000000002</v>
      </c>
      <c r="R21" s="80">
        <f t="shared" si="3"/>
        <v>1.3759999999999999</v>
      </c>
      <c r="S21" s="81">
        <f t="shared" si="1"/>
        <v>2.6959999999999997</v>
      </c>
      <c r="T21" s="7"/>
      <c r="V21" s="173"/>
      <c r="W21" s="173"/>
    </row>
    <row r="22" spans="1:23" s="10" customFormat="1" ht="17.25" customHeight="1" thickBot="1" x14ac:dyDescent="0.3">
      <c r="A22" s="9"/>
      <c r="B22" s="86" t="s">
        <v>58</v>
      </c>
      <c r="C22" s="87">
        <f t="shared" ref="C22:S22" si="5">SUM(C14:C21)</f>
        <v>123.02699999999999</v>
      </c>
      <c r="D22" s="87">
        <f t="shared" si="5"/>
        <v>122.18699999999998</v>
      </c>
      <c r="E22" s="87">
        <f t="shared" si="5"/>
        <v>141.88200000000001</v>
      </c>
      <c r="F22" s="87">
        <f t="shared" si="5"/>
        <v>116.703</v>
      </c>
      <c r="G22" s="87">
        <f t="shared" si="5"/>
        <v>97.927999999999983</v>
      </c>
      <c r="H22" s="87">
        <f t="shared" si="5"/>
        <v>99.942999999999984</v>
      </c>
      <c r="I22" s="171">
        <f t="shared" si="5"/>
        <v>89.734000000000009</v>
      </c>
      <c r="J22" s="87">
        <f t="shared" si="5"/>
        <v>91.466999999999999</v>
      </c>
      <c r="K22" s="87">
        <f t="shared" si="5"/>
        <v>104.834</v>
      </c>
      <c r="L22" s="87">
        <f t="shared" si="5"/>
        <v>101.700166</v>
      </c>
      <c r="M22" s="87">
        <f t="shared" si="5"/>
        <v>123.10374799999998</v>
      </c>
      <c r="N22" s="163">
        <f t="shared" si="5"/>
        <v>142.735794</v>
      </c>
      <c r="O22" s="164">
        <f t="shared" si="5"/>
        <v>387.096</v>
      </c>
      <c r="P22" s="164">
        <f t="shared" si="5"/>
        <v>314.57399999999996</v>
      </c>
      <c r="Q22" s="87">
        <f t="shared" si="5"/>
        <v>286.03500000000003</v>
      </c>
      <c r="R22" s="87">
        <f t="shared" si="5"/>
        <v>367.53970799999996</v>
      </c>
      <c r="S22" s="88">
        <f t="shared" si="5"/>
        <v>1355.2447079999999</v>
      </c>
      <c r="T22" s="9"/>
      <c r="V22" s="173"/>
      <c r="W22" s="173"/>
    </row>
    <row r="23" spans="1:23" ht="17.25" customHeight="1" x14ac:dyDescent="0.25">
      <c r="A23" s="1"/>
      <c r="B23" s="82" t="s">
        <v>59</v>
      </c>
      <c r="C23" s="83">
        <v>2.5379999999999998</v>
      </c>
      <c r="D23" s="83">
        <v>2.5329999999999999</v>
      </c>
      <c r="E23" s="83">
        <v>2.42</v>
      </c>
      <c r="F23" s="83">
        <v>2.262</v>
      </c>
      <c r="G23" s="83">
        <v>2.21</v>
      </c>
      <c r="H23" s="83">
        <v>2.431</v>
      </c>
      <c r="I23" s="172">
        <v>2.3780000000000001</v>
      </c>
      <c r="J23" s="83">
        <v>2.5779999999999998</v>
      </c>
      <c r="K23" s="83">
        <v>2.7749999999999999</v>
      </c>
      <c r="L23" s="83">
        <v>2.9769999999999999</v>
      </c>
      <c r="M23" s="83">
        <v>3.3079999999999998</v>
      </c>
      <c r="N23" s="83">
        <v>3.0289999999999999</v>
      </c>
      <c r="O23" s="36">
        <f>SUM(C23:E23)</f>
        <v>7.4909999999999997</v>
      </c>
      <c r="P23" s="84">
        <f t="shared" ref="P23:P28" si="6">SUM(F23:H23)</f>
        <v>6.9029999999999996</v>
      </c>
      <c r="Q23" s="84">
        <f t="shared" ref="Q23:Q28" si="7">SUM(I23:K23)</f>
        <v>7.7309999999999999</v>
      </c>
      <c r="R23" s="85">
        <f t="shared" ref="R23:R28" si="8">SUM(L23:N23)</f>
        <v>9.3140000000000001</v>
      </c>
      <c r="S23" s="40">
        <f t="shared" ref="S23:S28" si="9">SUM(O23:R23)</f>
        <v>31.439</v>
      </c>
      <c r="T23" s="7"/>
      <c r="V23" s="173"/>
      <c r="W23" s="173"/>
    </row>
    <row r="24" spans="1:23" ht="17.25" customHeight="1" x14ac:dyDescent="0.25">
      <c r="A24" s="1"/>
      <c r="B24" s="34" t="s">
        <v>60</v>
      </c>
      <c r="C24" s="33">
        <v>3.1949999999999998</v>
      </c>
      <c r="D24" s="33">
        <v>2.9630000000000001</v>
      </c>
      <c r="E24" s="33">
        <v>3.0179999999999998</v>
      </c>
      <c r="F24" s="33">
        <v>2.7519999999999998</v>
      </c>
      <c r="G24" s="33">
        <v>2.6309999999999998</v>
      </c>
      <c r="H24" s="33">
        <v>2.75</v>
      </c>
      <c r="I24" s="158">
        <v>2.6110000000000002</v>
      </c>
      <c r="J24" s="33">
        <v>2.835</v>
      </c>
      <c r="K24" s="33">
        <v>3.0459999999999998</v>
      </c>
      <c r="L24" s="33">
        <v>3.2385649999999999</v>
      </c>
      <c r="M24" s="33">
        <v>3.6685100000000004</v>
      </c>
      <c r="N24" s="33">
        <v>3.7888140000000003</v>
      </c>
      <c r="O24" s="36">
        <f>SUM(C24:E24)</f>
        <v>9.1759999999999984</v>
      </c>
      <c r="P24" s="37">
        <f t="shared" si="6"/>
        <v>8.1329999999999991</v>
      </c>
      <c r="Q24" s="37">
        <f t="shared" si="7"/>
        <v>8.4919999999999991</v>
      </c>
      <c r="R24" s="38">
        <f t="shared" si="8"/>
        <v>10.695889000000001</v>
      </c>
      <c r="S24" s="40">
        <f t="shared" si="9"/>
        <v>36.496888999999996</v>
      </c>
      <c r="T24" s="7"/>
      <c r="V24" s="173"/>
      <c r="W24" s="173"/>
    </row>
    <row r="25" spans="1:23" ht="17.25" customHeight="1" x14ac:dyDescent="0.25">
      <c r="A25" s="1"/>
      <c r="B25" s="34" t="s">
        <v>61</v>
      </c>
      <c r="C25" s="33">
        <v>3.802</v>
      </c>
      <c r="D25" s="33">
        <v>3.3929999999999998</v>
      </c>
      <c r="E25" s="33">
        <v>5.7290000000000001</v>
      </c>
      <c r="F25" s="33">
        <v>4.1959999999999997</v>
      </c>
      <c r="G25" s="33">
        <v>3.823</v>
      </c>
      <c r="H25" s="33">
        <v>4.4530000000000003</v>
      </c>
      <c r="I25" s="158">
        <v>4.3550000000000004</v>
      </c>
      <c r="J25" s="33">
        <v>4.1280000000000001</v>
      </c>
      <c r="K25" s="33">
        <v>4.2670000000000003</v>
      </c>
      <c r="L25" s="33">
        <v>4.1078549999999998</v>
      </c>
      <c r="M25" s="33">
        <v>4.448963</v>
      </c>
      <c r="N25" s="33">
        <v>4.3675909999999991</v>
      </c>
      <c r="O25" s="36">
        <f t="shared" ref="O25:O28" si="10">SUM(C25:E25)</f>
        <v>12.923999999999999</v>
      </c>
      <c r="P25" s="37">
        <f t="shared" si="6"/>
        <v>12.472000000000001</v>
      </c>
      <c r="Q25" s="37">
        <f t="shared" si="7"/>
        <v>12.75</v>
      </c>
      <c r="R25" s="38">
        <f t="shared" si="8"/>
        <v>12.924408999999999</v>
      </c>
      <c r="S25" s="39">
        <f t="shared" si="9"/>
        <v>51.070408999999998</v>
      </c>
      <c r="T25" s="7"/>
      <c r="V25" s="173"/>
      <c r="W25" s="173"/>
    </row>
    <row r="26" spans="1:23" ht="17.25" customHeight="1" x14ac:dyDescent="0.25">
      <c r="A26" s="1"/>
      <c r="B26" s="34" t="s">
        <v>62</v>
      </c>
      <c r="C26" s="33">
        <v>8.1219999999999999</v>
      </c>
      <c r="D26" s="33">
        <v>8.41</v>
      </c>
      <c r="E26" s="33">
        <v>11.35</v>
      </c>
      <c r="F26" s="33">
        <v>8.5879999999999992</v>
      </c>
      <c r="G26" s="33">
        <v>7.5350000000000001</v>
      </c>
      <c r="H26" s="33">
        <v>8.3719999999999999</v>
      </c>
      <c r="I26" s="158">
        <v>7.6360000000000001</v>
      </c>
      <c r="J26" s="33">
        <v>8.516</v>
      </c>
      <c r="K26" s="33">
        <v>9.2119999999999997</v>
      </c>
      <c r="L26" s="33">
        <v>8.5772089999999981</v>
      </c>
      <c r="M26" s="33">
        <v>8.921006000000002</v>
      </c>
      <c r="N26" s="33">
        <v>9.9421119999999998</v>
      </c>
      <c r="O26" s="36">
        <f t="shared" si="10"/>
        <v>27.881999999999998</v>
      </c>
      <c r="P26" s="37">
        <f t="shared" si="6"/>
        <v>24.494999999999997</v>
      </c>
      <c r="Q26" s="37">
        <f t="shared" si="7"/>
        <v>25.364000000000001</v>
      </c>
      <c r="R26" s="38">
        <f t="shared" si="8"/>
        <v>27.440327000000003</v>
      </c>
      <c r="S26" s="39">
        <f t="shared" si="9"/>
        <v>105.18132700000001</v>
      </c>
      <c r="T26" s="7"/>
      <c r="V26" s="210"/>
      <c r="W26" s="173"/>
    </row>
    <row r="27" spans="1:23" ht="17.25" customHeight="1" x14ac:dyDescent="0.25">
      <c r="A27" s="1"/>
      <c r="B27" s="34" t="s">
        <v>63</v>
      </c>
      <c r="C27" s="33">
        <v>2.5449999999999999</v>
      </c>
      <c r="D27" s="33">
        <v>3.0979999999999999</v>
      </c>
      <c r="E27" s="33">
        <v>3.411</v>
      </c>
      <c r="F27" s="33">
        <v>3.0830000000000002</v>
      </c>
      <c r="G27" s="33">
        <v>2.7839999999999998</v>
      </c>
      <c r="H27" s="33">
        <v>3.1379999999999999</v>
      </c>
      <c r="I27" s="158">
        <v>2.3039999999999998</v>
      </c>
      <c r="J27" s="33">
        <v>2.8069999999999999</v>
      </c>
      <c r="K27" s="33">
        <v>2.9420000000000002</v>
      </c>
      <c r="L27" s="33">
        <v>2.6053870000000008</v>
      </c>
      <c r="M27" s="33">
        <v>2.866358</v>
      </c>
      <c r="N27" s="33">
        <v>3.0925170000000004</v>
      </c>
      <c r="O27" s="36">
        <f t="shared" si="10"/>
        <v>9.0540000000000003</v>
      </c>
      <c r="P27" s="37">
        <f t="shared" si="6"/>
        <v>9.004999999999999</v>
      </c>
      <c r="Q27" s="37">
        <f t="shared" si="7"/>
        <v>8.0530000000000008</v>
      </c>
      <c r="R27" s="38">
        <f t="shared" si="8"/>
        <v>8.5642620000000012</v>
      </c>
      <c r="S27" s="39">
        <f t="shared" si="9"/>
        <v>34.676262000000001</v>
      </c>
      <c r="T27" s="7"/>
      <c r="V27" s="173"/>
      <c r="W27" s="173"/>
    </row>
    <row r="28" spans="1:23" ht="17.25" customHeight="1" thickBot="1" x14ac:dyDescent="0.3">
      <c r="A28" s="1"/>
      <c r="B28" s="77" t="s">
        <v>57</v>
      </c>
      <c r="C28" s="78">
        <v>1E-3</v>
      </c>
      <c r="D28" s="78">
        <v>2E-3</v>
      </c>
      <c r="E28" s="78">
        <v>1E-3</v>
      </c>
      <c r="F28" s="78">
        <v>0</v>
      </c>
      <c r="G28" s="78">
        <v>0</v>
      </c>
      <c r="H28" s="78">
        <v>0</v>
      </c>
      <c r="I28" s="159">
        <v>0</v>
      </c>
      <c r="J28" s="78">
        <v>0</v>
      </c>
      <c r="K28" s="78">
        <v>0</v>
      </c>
      <c r="L28" s="78">
        <v>0</v>
      </c>
      <c r="M28" s="78">
        <v>0</v>
      </c>
      <c r="N28" s="78">
        <v>0</v>
      </c>
      <c r="O28" s="36">
        <f t="shared" si="10"/>
        <v>4.0000000000000001E-3</v>
      </c>
      <c r="P28" s="79">
        <f t="shared" si="6"/>
        <v>0</v>
      </c>
      <c r="Q28" s="79">
        <f t="shared" si="7"/>
        <v>0</v>
      </c>
      <c r="R28" s="80">
        <f t="shared" si="8"/>
        <v>0</v>
      </c>
      <c r="S28" s="81">
        <f t="shared" si="9"/>
        <v>4.0000000000000001E-3</v>
      </c>
      <c r="T28" s="7"/>
      <c r="V28" s="173"/>
      <c r="W28" s="173"/>
    </row>
    <row r="29" spans="1:23" s="10" customFormat="1" ht="17.25" customHeight="1" thickBot="1" x14ac:dyDescent="0.3">
      <c r="A29" s="9"/>
      <c r="B29" s="86" t="s">
        <v>64</v>
      </c>
      <c r="C29" s="87">
        <f t="shared" ref="C29:N29" si="11">SUM(C23:C28)</f>
        <v>20.202999999999999</v>
      </c>
      <c r="D29" s="87">
        <f t="shared" si="11"/>
        <v>20.398999999999997</v>
      </c>
      <c r="E29" s="87">
        <f t="shared" si="11"/>
        <v>25.929000000000002</v>
      </c>
      <c r="F29" s="87">
        <f t="shared" si="11"/>
        <v>20.881</v>
      </c>
      <c r="G29" s="87">
        <f t="shared" si="11"/>
        <v>18.982999999999997</v>
      </c>
      <c r="H29" s="87">
        <f t="shared" si="11"/>
        <v>21.143999999999998</v>
      </c>
      <c r="I29" s="171">
        <f t="shared" si="11"/>
        <v>19.283999999999999</v>
      </c>
      <c r="J29" s="87">
        <f t="shared" si="11"/>
        <v>20.864000000000001</v>
      </c>
      <c r="K29" s="87">
        <f t="shared" si="11"/>
        <v>22.242000000000001</v>
      </c>
      <c r="L29" s="87">
        <f t="shared" si="11"/>
        <v>21.506015999999995</v>
      </c>
      <c r="M29" s="87">
        <f t="shared" si="11"/>
        <v>23.212837</v>
      </c>
      <c r="N29" s="87">
        <f t="shared" si="11"/>
        <v>24.220033999999998</v>
      </c>
      <c r="O29" s="87">
        <f>SUM(O23:O28)</f>
        <v>66.531000000000006</v>
      </c>
      <c r="P29" s="87">
        <f>SUM(P23:P28)</f>
        <v>61.007999999999996</v>
      </c>
      <c r="Q29" s="87">
        <f>SUM(Q23:Q28)</f>
        <v>62.39</v>
      </c>
      <c r="R29" s="87">
        <f>SUM(R23:R28)</f>
        <v>68.938887000000008</v>
      </c>
      <c r="S29" s="88">
        <f>SUM(S23:S28)</f>
        <v>258.86788700000005</v>
      </c>
      <c r="T29" s="9"/>
      <c r="V29" s="173"/>
      <c r="W29" s="173"/>
    </row>
    <row r="30" spans="1:23" ht="17.25" customHeight="1" x14ac:dyDescent="0.25">
      <c r="A30" s="1"/>
      <c r="B30" s="82" t="s">
        <v>65</v>
      </c>
      <c r="C30" s="83">
        <v>2.1139999999999999</v>
      </c>
      <c r="D30" s="83">
        <v>1.9750000000000001</v>
      </c>
      <c r="E30" s="83">
        <v>2.4359999999999999</v>
      </c>
      <c r="F30" s="83">
        <v>2.2450000000000001</v>
      </c>
      <c r="G30" s="83">
        <v>2.5819999999999999</v>
      </c>
      <c r="H30" s="83">
        <v>2.8039999999999998</v>
      </c>
      <c r="I30" s="172">
        <v>2.6320000000000001</v>
      </c>
      <c r="J30" s="83">
        <v>2.2519999999999998</v>
      </c>
      <c r="K30" s="83">
        <v>2.5590000000000002</v>
      </c>
      <c r="L30" s="83">
        <v>2.351</v>
      </c>
      <c r="M30" s="83">
        <v>2.5117029999999998</v>
      </c>
      <c r="N30" s="83">
        <v>2.6949210000000003</v>
      </c>
      <c r="O30" s="36">
        <f>SUM(C30:E30)</f>
        <v>6.5250000000000004</v>
      </c>
      <c r="P30" s="84">
        <f>SUM(F30:H30)</f>
        <v>7.6310000000000002</v>
      </c>
      <c r="Q30" s="84">
        <f>SUM(I30:K30)</f>
        <v>7.4430000000000005</v>
      </c>
      <c r="R30" s="85">
        <f>SUM(L30:N30)</f>
        <v>7.5576240000000006</v>
      </c>
      <c r="S30" s="40">
        <f>SUM(O30:R30)</f>
        <v>29.156624000000001</v>
      </c>
      <c r="T30" s="7"/>
      <c r="V30" s="210"/>
      <c r="W30" s="173"/>
    </row>
    <row r="31" spans="1:23" ht="17.25" customHeight="1" x14ac:dyDescent="0.25">
      <c r="A31" s="1"/>
      <c r="B31" s="34" t="s">
        <v>66</v>
      </c>
      <c r="C31" s="33">
        <f>16.547+5.608</f>
        <v>22.155000000000001</v>
      </c>
      <c r="D31" s="33">
        <f>16.922+5.261</f>
        <v>22.183</v>
      </c>
      <c r="E31" s="33">
        <f>21.14+6.119</f>
        <v>27.259</v>
      </c>
      <c r="F31" s="33">
        <f>21.077+5.08</f>
        <v>26.157000000000004</v>
      </c>
      <c r="G31" s="33">
        <f>19.659+4.751</f>
        <v>24.41</v>
      </c>
      <c r="H31" s="33">
        <f>20.742+6.515</f>
        <v>27.257000000000001</v>
      </c>
      <c r="I31" s="158">
        <f>21.195+5.347</f>
        <v>26.542000000000002</v>
      </c>
      <c r="J31" s="33">
        <f>20.835+5.023</f>
        <v>25.858000000000001</v>
      </c>
      <c r="K31" s="33">
        <f>23.483+6.919</f>
        <v>30.402000000000001</v>
      </c>
      <c r="L31" s="33">
        <f>20.973+5.236</f>
        <v>26.209</v>
      </c>
      <c r="M31" s="33">
        <v>27.140139999999999</v>
      </c>
      <c r="N31" s="33">
        <v>33.122019000000002</v>
      </c>
      <c r="O31" s="36">
        <f t="shared" ref="O31:O33" si="12">SUM(C31:E31)</f>
        <v>71.597000000000008</v>
      </c>
      <c r="P31" s="37">
        <f>SUM(F31:H31)</f>
        <v>77.824000000000012</v>
      </c>
      <c r="Q31" s="37">
        <f>SUM(I31:K31)</f>
        <v>82.802000000000007</v>
      </c>
      <c r="R31" s="38">
        <f>SUM(L31:N31)</f>
        <v>86.471159</v>
      </c>
      <c r="S31" s="39">
        <f>SUM(O31:R31)</f>
        <v>318.69415900000001</v>
      </c>
      <c r="T31" s="7"/>
      <c r="V31" s="173"/>
      <c r="W31" s="173"/>
    </row>
    <row r="32" spans="1:23" ht="17.25" customHeight="1" x14ac:dyDescent="0.25">
      <c r="A32" s="1"/>
      <c r="B32" s="34" t="s">
        <v>67</v>
      </c>
      <c r="C32" s="33">
        <v>35.814999999999998</v>
      </c>
      <c r="D32" s="33">
        <v>35.286999999999999</v>
      </c>
      <c r="E32" s="33">
        <v>42.872</v>
      </c>
      <c r="F32" s="33">
        <v>39.173000000000002</v>
      </c>
      <c r="G32" s="33">
        <v>39.790999999999997</v>
      </c>
      <c r="H32" s="33">
        <v>42.015000000000001</v>
      </c>
      <c r="I32" s="158">
        <v>39.08</v>
      </c>
      <c r="J32" s="33">
        <v>39.619</v>
      </c>
      <c r="K32" s="33">
        <v>47.119</v>
      </c>
      <c r="L32" s="33">
        <v>41.167999999999999</v>
      </c>
      <c r="M32" s="33">
        <v>38.148781533573157</v>
      </c>
      <c r="N32" s="33">
        <v>41.882103466426855</v>
      </c>
      <c r="O32" s="36">
        <f>SUM(C32:E32)</f>
        <v>113.974</v>
      </c>
      <c r="P32" s="37">
        <f>SUM(F32:H32)</f>
        <v>120.979</v>
      </c>
      <c r="Q32" s="37">
        <f>SUM(I32:K32)</f>
        <v>125.818</v>
      </c>
      <c r="R32" s="38">
        <f>SUM(L32:N32)</f>
        <v>121.19888500000002</v>
      </c>
      <c r="S32" s="39">
        <f>SUM(O32:R32)</f>
        <v>481.96988500000003</v>
      </c>
      <c r="T32" s="7"/>
      <c r="V32" s="173"/>
      <c r="W32" s="173"/>
    </row>
    <row r="33" spans="1:27" ht="17.25" customHeight="1" thickBot="1" x14ac:dyDescent="0.3">
      <c r="A33" s="1"/>
      <c r="B33" s="77" t="s">
        <v>68</v>
      </c>
      <c r="C33" s="78">
        <f>1.425+2.583</f>
        <v>4.008</v>
      </c>
      <c r="D33" s="78">
        <f>1.014+1.935</f>
        <v>2.9489999999999998</v>
      </c>
      <c r="E33" s="78">
        <f>1.439+0.73</f>
        <v>2.169</v>
      </c>
      <c r="F33" s="78">
        <f>0.077+2.652</f>
        <v>2.7290000000000001</v>
      </c>
      <c r="G33" s="78">
        <f>0.045+2.2</f>
        <v>2.2450000000000001</v>
      </c>
      <c r="H33" s="78">
        <f>0.084+2.895</f>
        <v>2.9790000000000001</v>
      </c>
      <c r="I33" s="159">
        <f>0.21+2.526</f>
        <v>2.7359999999999998</v>
      </c>
      <c r="J33" s="78">
        <f>0.501+2.622</f>
        <v>3.1229999999999998</v>
      </c>
      <c r="K33" s="78">
        <f>0.856+2.727</f>
        <v>3.5829999999999997</v>
      </c>
      <c r="L33" s="78">
        <f>1.394+2.414</f>
        <v>3.8079999999999998</v>
      </c>
      <c r="M33" s="78">
        <v>4.2597500000000004</v>
      </c>
      <c r="N33" s="78">
        <v>2.5690759999999999</v>
      </c>
      <c r="O33" s="36">
        <f t="shared" si="12"/>
        <v>9.1259999999999994</v>
      </c>
      <c r="P33" s="79">
        <f>SUM(F33:H33)</f>
        <v>7.9530000000000003</v>
      </c>
      <c r="Q33" s="79">
        <f>SUM(I33:K33)</f>
        <v>9.4420000000000002</v>
      </c>
      <c r="R33" s="80">
        <f>SUM(L33:N33)</f>
        <v>10.636825999999999</v>
      </c>
      <c r="S33" s="41">
        <f>SUM(O33:R33)</f>
        <v>37.157826</v>
      </c>
      <c r="T33" s="7"/>
      <c r="V33" s="210"/>
      <c r="W33" s="173"/>
    </row>
    <row r="34" spans="1:27" s="10" customFormat="1" ht="17.25" customHeight="1" thickBot="1" x14ac:dyDescent="0.3">
      <c r="A34" s="9"/>
      <c r="B34" s="86" t="s">
        <v>69</v>
      </c>
      <c r="C34" s="87">
        <f t="shared" ref="C34:N34" si="13">SUM(C30:C33)</f>
        <v>64.091999999999999</v>
      </c>
      <c r="D34" s="87">
        <f t="shared" si="13"/>
        <v>62.393999999999998</v>
      </c>
      <c r="E34" s="87">
        <f t="shared" si="13"/>
        <v>74.736000000000004</v>
      </c>
      <c r="F34" s="87">
        <f t="shared" si="13"/>
        <v>70.304000000000002</v>
      </c>
      <c r="G34" s="87">
        <f t="shared" si="13"/>
        <v>69.028000000000006</v>
      </c>
      <c r="H34" s="87">
        <f t="shared" si="13"/>
        <v>75.054999999999993</v>
      </c>
      <c r="I34" s="171">
        <f t="shared" si="13"/>
        <v>70.990000000000009</v>
      </c>
      <c r="J34" s="87">
        <f t="shared" si="13"/>
        <v>70.852000000000004</v>
      </c>
      <c r="K34" s="87">
        <f t="shared" si="13"/>
        <v>83.662999999999997</v>
      </c>
      <c r="L34" s="87">
        <f t="shared" si="13"/>
        <v>73.536000000000001</v>
      </c>
      <c r="M34" s="87">
        <f t="shared" si="13"/>
        <v>72.060374533573153</v>
      </c>
      <c r="N34" s="87">
        <f t="shared" si="13"/>
        <v>80.268119466426853</v>
      </c>
      <c r="O34" s="87">
        <f>SUM(O30:O33)</f>
        <v>201.22200000000001</v>
      </c>
      <c r="P34" s="87">
        <f>SUM(P30:P33)</f>
        <v>214.38700000000003</v>
      </c>
      <c r="Q34" s="87">
        <f>SUM(Q30:Q33)</f>
        <v>225.505</v>
      </c>
      <c r="R34" s="87">
        <f>SUM(R30:R33)</f>
        <v>225.86449400000004</v>
      </c>
      <c r="S34" s="88">
        <f>SUM(S30:S33)</f>
        <v>866.97849400000007</v>
      </c>
      <c r="T34" s="9"/>
      <c r="V34" s="173"/>
      <c r="W34" s="210"/>
      <c r="AA34" s="250"/>
    </row>
    <row r="35" spans="1:27" ht="17.25" customHeight="1" x14ac:dyDescent="0.25">
      <c r="A35" s="1"/>
      <c r="B35" s="82" t="s">
        <v>70</v>
      </c>
      <c r="C35" s="83">
        <v>4.0389999999999997</v>
      </c>
      <c r="D35" s="83">
        <v>6.21</v>
      </c>
      <c r="E35" s="83">
        <v>7.9119999999999999</v>
      </c>
      <c r="F35" s="83">
        <v>3.2229999999999999</v>
      </c>
      <c r="G35" s="83">
        <v>0.82599999999999996</v>
      </c>
      <c r="H35" s="83">
        <v>0.51100000000000001</v>
      </c>
      <c r="I35" s="172">
        <v>0.20300000000000001</v>
      </c>
      <c r="J35" s="83">
        <v>0.20499999999999999</v>
      </c>
      <c r="K35" s="83">
        <v>0.23799999999999999</v>
      </c>
      <c r="L35" s="83">
        <v>0.241836</v>
      </c>
      <c r="M35" s="83">
        <v>0.70213599999999998</v>
      </c>
      <c r="N35" s="83">
        <v>1.6309829999999996</v>
      </c>
      <c r="O35" s="36">
        <f>SUM(C35:E35)</f>
        <v>18.160999999999998</v>
      </c>
      <c r="P35" s="84">
        <f>SUM(F35:H35)</f>
        <v>4.5599999999999996</v>
      </c>
      <c r="Q35" s="84">
        <f>SUM(I35:K35)</f>
        <v>0.64600000000000002</v>
      </c>
      <c r="R35" s="85">
        <f>SUM(L35:N35)</f>
        <v>2.5749549999999997</v>
      </c>
      <c r="S35" s="40">
        <f>SUM(O35:R35)</f>
        <v>25.941954999999997</v>
      </c>
      <c r="T35" s="7"/>
      <c r="V35" s="173"/>
      <c r="W35" s="173"/>
    </row>
    <row r="36" spans="1:27" ht="17.25" customHeight="1" x14ac:dyDescent="0.25">
      <c r="A36" s="1"/>
      <c r="B36" s="34" t="s">
        <v>71</v>
      </c>
      <c r="C36" s="33">
        <v>2.4750000000000001</v>
      </c>
      <c r="D36" s="33">
        <v>2.1869999999999998</v>
      </c>
      <c r="E36" s="33">
        <v>2.581</v>
      </c>
      <c r="F36" s="33">
        <v>2.2930000000000001</v>
      </c>
      <c r="G36" s="33">
        <v>2.714</v>
      </c>
      <c r="H36" s="33">
        <v>2.6789999999999998</v>
      </c>
      <c r="I36" s="158">
        <v>2.3359999999999999</v>
      </c>
      <c r="J36" s="33">
        <v>2.5470000000000002</v>
      </c>
      <c r="K36" s="33">
        <v>2.0710000000000002</v>
      </c>
      <c r="L36" s="33">
        <v>1.9412829999999999</v>
      </c>
      <c r="M36" s="33">
        <v>2.17157</v>
      </c>
      <c r="N36" s="33">
        <v>2.6563620000000001</v>
      </c>
      <c r="O36" s="36">
        <f>SUM(C36:E36)</f>
        <v>7.2430000000000003</v>
      </c>
      <c r="P36" s="37">
        <f>SUM(F36:H36)</f>
        <v>7.6859999999999999</v>
      </c>
      <c r="Q36" s="37">
        <f>SUM(I36:K36)</f>
        <v>6.9540000000000006</v>
      </c>
      <c r="R36" s="38">
        <f>SUM(L36:N36)</f>
        <v>6.7692149999999991</v>
      </c>
      <c r="S36" s="39">
        <f>SUM(O36:R36)</f>
        <v>28.652215000000002</v>
      </c>
      <c r="T36" s="7"/>
      <c r="V36" s="173"/>
      <c r="W36" s="173"/>
    </row>
    <row r="37" spans="1:27" ht="17.25" customHeight="1" x14ac:dyDescent="0.25">
      <c r="A37" s="1"/>
      <c r="B37" s="34" t="s">
        <v>56</v>
      </c>
      <c r="C37" s="33">
        <v>1.3240000000000001</v>
      </c>
      <c r="D37" s="33">
        <v>1.7729999999999999</v>
      </c>
      <c r="E37" s="33">
        <v>1.893</v>
      </c>
      <c r="F37" s="33">
        <v>1.2290000000000001</v>
      </c>
      <c r="G37" s="33">
        <v>0.84899999999999998</v>
      </c>
      <c r="H37" s="33">
        <v>0.67700000000000005</v>
      </c>
      <c r="I37" s="158">
        <v>0.71499999999999997</v>
      </c>
      <c r="J37" s="33">
        <v>0.56699999999999995</v>
      </c>
      <c r="K37" s="33">
        <v>0.69099999999999995</v>
      </c>
      <c r="L37" s="33">
        <v>0.54409999999999992</v>
      </c>
      <c r="M37" s="33">
        <v>0.53639200000000009</v>
      </c>
      <c r="N37" s="33">
        <v>1.0022599999999999</v>
      </c>
      <c r="O37" s="36">
        <f>SUM(C37:E37)</f>
        <v>4.99</v>
      </c>
      <c r="P37" s="37">
        <f>SUM(F37:H37)</f>
        <v>2.7550000000000003</v>
      </c>
      <c r="Q37" s="37">
        <f>SUM(I37:K37)</f>
        <v>1.9729999999999999</v>
      </c>
      <c r="R37" s="38">
        <f>SUM(L37:N37)</f>
        <v>2.0827520000000002</v>
      </c>
      <c r="S37" s="39">
        <f>SUM(O37:R37)</f>
        <v>11.800751999999999</v>
      </c>
      <c r="T37" s="7"/>
      <c r="V37" s="173"/>
      <c r="W37" s="173"/>
    </row>
    <row r="38" spans="1:27" ht="17.25" customHeight="1" thickBot="1" x14ac:dyDescent="0.3">
      <c r="A38" s="1"/>
      <c r="B38" s="77" t="s">
        <v>57</v>
      </c>
      <c r="C38" s="78">
        <v>1.6990000000000001</v>
      </c>
      <c r="D38" s="78">
        <v>0.03</v>
      </c>
      <c r="E38" s="78">
        <v>5.0000000000000001E-3</v>
      </c>
      <c r="F38" s="78">
        <v>1.0999999999999999E-2</v>
      </c>
      <c r="G38" s="78">
        <v>7.0000000000000001E-3</v>
      </c>
      <c r="H38" s="78">
        <v>4.0000000000000001E-3</v>
      </c>
      <c r="I38" s="159">
        <v>0</v>
      </c>
      <c r="J38" s="78">
        <v>7.0000000000000001E-3</v>
      </c>
      <c r="K38" s="78">
        <v>1E-3</v>
      </c>
      <c r="L38" s="78">
        <v>4.0000000000000001E-3</v>
      </c>
      <c r="M38" s="78">
        <v>0</v>
      </c>
      <c r="N38" s="78">
        <v>0</v>
      </c>
      <c r="O38" s="36">
        <f>SUM(C38:E38)</f>
        <v>1.734</v>
      </c>
      <c r="P38" s="79">
        <f>SUM(F38:H38)</f>
        <v>2.1999999999999999E-2</v>
      </c>
      <c r="Q38" s="79">
        <f>SUM(I38:K38)</f>
        <v>8.0000000000000002E-3</v>
      </c>
      <c r="R38" s="80">
        <f>SUM(L38:N38)</f>
        <v>4.0000000000000001E-3</v>
      </c>
      <c r="S38" s="81">
        <f>SUM(O38:R38)</f>
        <v>1.768</v>
      </c>
      <c r="T38" s="7"/>
      <c r="V38" s="210"/>
      <c r="W38" s="173"/>
      <c r="Z38" s="173"/>
    </row>
    <row r="39" spans="1:27" s="10" customFormat="1" ht="17.25" customHeight="1" thickBot="1" x14ac:dyDescent="0.3">
      <c r="A39" s="9"/>
      <c r="B39" s="86" t="s">
        <v>72</v>
      </c>
      <c r="C39" s="87">
        <f t="shared" ref="C39:N39" si="14">SUM(C35:C38)</f>
        <v>9.536999999999999</v>
      </c>
      <c r="D39" s="87">
        <f t="shared" si="14"/>
        <v>10.199999999999999</v>
      </c>
      <c r="E39" s="87">
        <f t="shared" si="14"/>
        <v>12.391000000000002</v>
      </c>
      <c r="F39" s="87">
        <f t="shared" si="14"/>
        <v>6.7560000000000002</v>
      </c>
      <c r="G39" s="87">
        <f t="shared" si="14"/>
        <v>4.3959999999999999</v>
      </c>
      <c r="H39" s="87">
        <f t="shared" si="14"/>
        <v>3.871</v>
      </c>
      <c r="I39" s="171">
        <f t="shared" si="14"/>
        <v>3.2539999999999996</v>
      </c>
      <c r="J39" s="87">
        <f t="shared" si="14"/>
        <v>3.3260000000000001</v>
      </c>
      <c r="K39" s="87">
        <f t="shared" si="14"/>
        <v>3.0009999999999999</v>
      </c>
      <c r="L39" s="87">
        <f t="shared" si="14"/>
        <v>2.7312189999999998</v>
      </c>
      <c r="M39" s="87">
        <f t="shared" si="14"/>
        <v>3.4100980000000001</v>
      </c>
      <c r="N39" s="87">
        <f t="shared" si="14"/>
        <v>5.2896049999999999</v>
      </c>
      <c r="O39" s="87">
        <f>SUM(O35:O38)</f>
        <v>32.128</v>
      </c>
      <c r="P39" s="87">
        <f>SUM(P35:P38)</f>
        <v>15.023</v>
      </c>
      <c r="Q39" s="87">
        <f>SUM(Q35:Q38)</f>
        <v>9.5809999999999995</v>
      </c>
      <c r="R39" s="87">
        <f>SUM(R35:R38)</f>
        <v>11.430921999999997</v>
      </c>
      <c r="S39" s="89">
        <f>SUM(S35:S38)</f>
        <v>68.162921999999995</v>
      </c>
      <c r="T39" s="9"/>
      <c r="V39" s="173"/>
    </row>
    <row r="40" spans="1:27" ht="17.25" customHeight="1" x14ac:dyDescent="0.25">
      <c r="A40" s="1"/>
      <c r="B40" s="82" t="s">
        <v>73</v>
      </c>
      <c r="C40" s="83">
        <f>1.494+2.617</f>
        <v>4.1109999999999998</v>
      </c>
      <c r="D40" s="83">
        <f>1.449+2.505</f>
        <v>3.9539999999999997</v>
      </c>
      <c r="E40" s="83">
        <f>1.63+2.811</f>
        <v>4.4409999999999998</v>
      </c>
      <c r="F40" s="83">
        <f>1.38+2.212</f>
        <v>3.5920000000000001</v>
      </c>
      <c r="G40" s="83">
        <f>1.11+1.948</f>
        <v>3.0579999999999998</v>
      </c>
      <c r="H40" s="83">
        <f>1.096+2.63</f>
        <v>3.726</v>
      </c>
      <c r="I40" s="172">
        <f>0.89+1.36</f>
        <v>2.25</v>
      </c>
      <c r="J40" s="83">
        <f>1.139+1.474</f>
        <v>2.613</v>
      </c>
      <c r="K40" s="83">
        <f>1.122+1.924</f>
        <v>3.0460000000000003</v>
      </c>
      <c r="L40" s="83">
        <f>1.31+1.861</f>
        <v>3.1710000000000003</v>
      </c>
      <c r="M40" s="157">
        <v>4.2659750000000001</v>
      </c>
      <c r="N40" s="83">
        <v>4.2830349999999999</v>
      </c>
      <c r="O40" s="36">
        <f>SUM(C40:E40)</f>
        <v>12.506</v>
      </c>
      <c r="P40" s="84">
        <f>SUM(F40:H40)</f>
        <v>10.376000000000001</v>
      </c>
      <c r="Q40" s="84">
        <f>SUM(I40:K40)</f>
        <v>7.9089999999999998</v>
      </c>
      <c r="R40" s="85">
        <f>SUM(L40:N40)</f>
        <v>11.72001</v>
      </c>
      <c r="S40" s="40">
        <f>SUM(O40:R40)</f>
        <v>42.511009999999999</v>
      </c>
      <c r="T40" s="7"/>
      <c r="V40" s="173"/>
      <c r="W40" s="173"/>
    </row>
    <row r="41" spans="1:27" ht="17.25" customHeight="1" x14ac:dyDescent="0.25">
      <c r="A41" s="1"/>
      <c r="B41" s="34" t="s">
        <v>74</v>
      </c>
      <c r="C41" s="33">
        <f>0.196+0.012</f>
        <v>0.20800000000000002</v>
      </c>
      <c r="D41" s="33">
        <f>0.251+0.008</f>
        <v>0.25900000000000001</v>
      </c>
      <c r="E41" s="33">
        <f>0.218+0.012</f>
        <v>0.23</v>
      </c>
      <c r="F41" s="33">
        <f>0.204+0.011</f>
        <v>0.215</v>
      </c>
      <c r="G41" s="33">
        <f>0.177+0.004</f>
        <v>0.18099999999999999</v>
      </c>
      <c r="H41" s="33">
        <f>0.127+0.01</f>
        <v>0.13700000000000001</v>
      </c>
      <c r="I41" s="158">
        <f>0.158+0.028</f>
        <v>0.186</v>
      </c>
      <c r="J41" s="33">
        <f>0.173+0.005</f>
        <v>0.17799999999999999</v>
      </c>
      <c r="K41" s="33">
        <f>0.171+0.017</f>
        <v>0.188</v>
      </c>
      <c r="L41" s="33">
        <f>0.161+0.048</f>
        <v>0.20900000000000002</v>
      </c>
      <c r="M41" s="158">
        <v>0.18653500000000001</v>
      </c>
      <c r="N41" s="33">
        <v>0.23184700000000003</v>
      </c>
      <c r="O41" s="36">
        <f>SUM(C41:E41)</f>
        <v>0.69700000000000006</v>
      </c>
      <c r="P41" s="37">
        <f>SUM(F41:H41)</f>
        <v>0.53300000000000003</v>
      </c>
      <c r="Q41" s="37">
        <f>SUM(I41:K41)</f>
        <v>0.55200000000000005</v>
      </c>
      <c r="R41" s="38">
        <f>SUM(L41:N41)</f>
        <v>0.62738200000000011</v>
      </c>
      <c r="S41" s="39">
        <f>SUM(O41:R41)</f>
        <v>2.4093819999999999</v>
      </c>
      <c r="T41" s="7"/>
      <c r="V41" s="173"/>
      <c r="W41" s="173"/>
      <c r="Z41" s="173"/>
      <c r="AA41" s="173"/>
    </row>
    <row r="42" spans="1:27" ht="17.25" customHeight="1" thickBot="1" x14ac:dyDescent="0.3">
      <c r="A42" s="1"/>
      <c r="B42" s="77" t="s">
        <v>75</v>
      </c>
      <c r="C42" s="78">
        <f>0.517+0.004+0.327+0.149</f>
        <v>0.99700000000000011</v>
      </c>
      <c r="D42" s="78">
        <f>1.157+0.007+0.228+2.043</f>
        <v>3.4350000000000001</v>
      </c>
      <c r="E42" s="78">
        <f>1.565+0.008+0.189+0.233</f>
        <v>1.9950000000000001</v>
      </c>
      <c r="F42" s="78">
        <f>1.083+0.012+0.165+1.748</f>
        <v>3.008</v>
      </c>
      <c r="G42" s="78">
        <f>0.905+0.005+0.134+1.104</f>
        <v>2.1480000000000001</v>
      </c>
      <c r="H42" s="78">
        <f>0.892+0.009+0.129+1.944</f>
        <v>2.9740000000000002</v>
      </c>
      <c r="I42" s="159">
        <f>0.856+0.004+0.078+1.553</f>
        <v>2.4909999999999997</v>
      </c>
      <c r="J42" s="78">
        <f>0.96+0.003+0.089+2.165</f>
        <v>3.2170000000000001</v>
      </c>
      <c r="K42" s="78">
        <f>1.15+0.004+0.084+2.134</f>
        <v>3.3719999999999999</v>
      </c>
      <c r="L42" s="78">
        <f>1.115+0.004+0.118+2.153</f>
        <v>3.39</v>
      </c>
      <c r="M42" s="159">
        <v>2.480772</v>
      </c>
      <c r="N42" s="78">
        <v>3.2001619999999997</v>
      </c>
      <c r="O42" s="36">
        <f>SUM(C42:E42)</f>
        <v>6.4270000000000005</v>
      </c>
      <c r="P42" s="79">
        <f>SUM(F42:H42)</f>
        <v>8.1300000000000008</v>
      </c>
      <c r="Q42" s="79">
        <f>SUM(I42:K42)</f>
        <v>9.08</v>
      </c>
      <c r="R42" s="80">
        <f>SUM(L42:N42)</f>
        <v>9.0709340000000012</v>
      </c>
      <c r="S42" s="81">
        <f>SUM(O42:R42)</f>
        <v>32.707934000000002</v>
      </c>
      <c r="T42" s="7"/>
      <c r="V42" s="173"/>
      <c r="W42" s="173"/>
    </row>
    <row r="43" spans="1:27" s="10" customFormat="1" ht="17.25" customHeight="1" thickBot="1" x14ac:dyDescent="0.3">
      <c r="A43" s="9"/>
      <c r="B43" s="86" t="s">
        <v>76</v>
      </c>
      <c r="C43" s="87">
        <f t="shared" ref="C43:N43" si="15">SUM(C40:C42)</f>
        <v>5.3159999999999998</v>
      </c>
      <c r="D43" s="87">
        <f t="shared" si="15"/>
        <v>7.6479999999999997</v>
      </c>
      <c r="E43" s="87">
        <f t="shared" si="15"/>
        <v>6.6660000000000004</v>
      </c>
      <c r="F43" s="87">
        <f t="shared" si="15"/>
        <v>6.8149999999999995</v>
      </c>
      <c r="G43" s="87">
        <f t="shared" si="15"/>
        <v>5.3870000000000005</v>
      </c>
      <c r="H43" s="87">
        <f t="shared" si="15"/>
        <v>6.8369999999999997</v>
      </c>
      <c r="I43" s="87">
        <f t="shared" si="15"/>
        <v>4.9269999999999996</v>
      </c>
      <c r="J43" s="87">
        <f t="shared" si="15"/>
        <v>6.008</v>
      </c>
      <c r="K43" s="87">
        <f t="shared" si="15"/>
        <v>6.6059999999999999</v>
      </c>
      <c r="L43" s="87">
        <f t="shared" si="15"/>
        <v>6.7700000000000005</v>
      </c>
      <c r="M43" s="87">
        <f t="shared" si="15"/>
        <v>6.9332820000000002</v>
      </c>
      <c r="N43" s="87">
        <f t="shared" si="15"/>
        <v>7.7150439999999998</v>
      </c>
      <c r="O43" s="87">
        <f>SUM(O40:O42)</f>
        <v>19.63</v>
      </c>
      <c r="P43" s="87">
        <f>SUM(P40:P42)</f>
        <v>19.039000000000001</v>
      </c>
      <c r="Q43" s="87">
        <f>SUM(Q40:Q42)</f>
        <v>17.541</v>
      </c>
      <c r="R43" s="87">
        <f>SUM(R40:R42)</f>
        <v>21.418326</v>
      </c>
      <c r="S43" s="88">
        <f>SUM(S40:S42)</f>
        <v>77.628326000000001</v>
      </c>
      <c r="T43" s="9"/>
      <c r="V43" s="173"/>
      <c r="W43" s="173"/>
    </row>
    <row r="44" spans="1:27" ht="17.25" customHeight="1" thickBot="1" x14ac:dyDescent="0.3">
      <c r="A44" s="1"/>
      <c r="B44" s="86" t="s">
        <v>77</v>
      </c>
      <c r="C44" s="87">
        <f t="shared" ref="C44:N44" si="16">C43+C39+C34+C29+C22</f>
        <v>222.17499999999998</v>
      </c>
      <c r="D44" s="87">
        <f t="shared" si="16"/>
        <v>222.82799999999997</v>
      </c>
      <c r="E44" s="87">
        <f t="shared" si="16"/>
        <v>261.60400000000004</v>
      </c>
      <c r="F44" s="87">
        <f t="shared" si="16"/>
        <v>221.459</v>
      </c>
      <c r="G44" s="87">
        <f t="shared" si="16"/>
        <v>195.72199999999998</v>
      </c>
      <c r="H44" s="87">
        <f t="shared" si="16"/>
        <v>206.84999999999997</v>
      </c>
      <c r="I44" s="87">
        <f t="shared" si="16"/>
        <v>188.18900000000002</v>
      </c>
      <c r="J44" s="87">
        <f t="shared" si="16"/>
        <v>192.517</v>
      </c>
      <c r="K44" s="87">
        <f t="shared" si="16"/>
        <v>220.346</v>
      </c>
      <c r="L44" s="87">
        <f t="shared" si="16"/>
        <v>206.24340100000001</v>
      </c>
      <c r="M44" s="87">
        <f t="shared" si="16"/>
        <v>228.72033953357311</v>
      </c>
      <c r="N44" s="87">
        <f t="shared" si="16"/>
        <v>260.22859646642684</v>
      </c>
      <c r="O44" s="87">
        <f>O43+O39+O34+O29+O22</f>
        <v>706.60699999999997</v>
      </c>
      <c r="P44" s="87">
        <f>P43+P39+P34+P29+P22</f>
        <v>624.03099999999995</v>
      </c>
      <c r="Q44" s="87">
        <f>Q43+Q39+Q34+Q29+Q22</f>
        <v>601.05200000000002</v>
      </c>
      <c r="R44" s="87">
        <f>R43+R39+R34+R29+R22</f>
        <v>695.19233699999995</v>
      </c>
      <c r="S44" s="90">
        <f>SUM(O44:R44)</f>
        <v>2626.882337</v>
      </c>
      <c r="T44" s="7"/>
      <c r="V44" s="173"/>
      <c r="W44" s="173"/>
    </row>
    <row r="45" spans="1:27" x14ac:dyDescent="0.2">
      <c r="A45" s="1"/>
      <c r="B45" s="1"/>
      <c r="C45" s="11"/>
      <c r="D45" s="2"/>
      <c r="E45" s="3"/>
      <c r="F45" s="4"/>
      <c r="G45" s="5"/>
      <c r="H45" s="2"/>
      <c r="I45" s="3"/>
      <c r="J45" s="4"/>
      <c r="K45" s="5"/>
      <c r="L45" s="2"/>
      <c r="M45" s="3"/>
      <c r="N45" s="4"/>
      <c r="O45" s="5"/>
      <c r="P45" s="2"/>
      <c r="Q45" s="3"/>
      <c r="R45" s="4"/>
      <c r="S45" s="6"/>
      <c r="T45" s="7"/>
    </row>
    <row r="46" spans="1:27" x14ac:dyDescent="0.2">
      <c r="B46" s="173"/>
      <c r="C46" s="234"/>
      <c r="W46" s="173"/>
    </row>
    <row r="47" spans="1:27" x14ac:dyDescent="0.2">
      <c r="C47"/>
      <c r="W47" s="173"/>
    </row>
    <row r="48" spans="1:27" x14ac:dyDescent="0.2">
      <c r="W48" s="173"/>
    </row>
    <row r="50" spans="1:15" x14ac:dyDescent="0.2">
      <c r="D50" s="8"/>
      <c r="E50" s="8"/>
      <c r="F50" s="8"/>
      <c r="G50" s="8"/>
      <c r="H50" s="8"/>
      <c r="I50" s="8"/>
      <c r="J50" s="8"/>
      <c r="K50" s="8"/>
      <c r="L50" s="8"/>
      <c r="M50" s="8"/>
      <c r="N50" s="8"/>
    </row>
    <row r="52" spans="1:15" x14ac:dyDescent="0.2">
      <c r="D52" s="8"/>
      <c r="E52" s="8"/>
      <c r="F52" s="8"/>
      <c r="G52" s="8"/>
      <c r="H52" s="8"/>
      <c r="I52" s="8"/>
      <c r="J52" s="8"/>
      <c r="K52" s="8"/>
      <c r="L52" s="8"/>
      <c r="M52" s="8"/>
      <c r="N52" s="8"/>
    </row>
    <row r="53" spans="1:15" x14ac:dyDescent="0.2">
      <c r="I53" s="240"/>
    </row>
    <row r="54" spans="1:15" x14ac:dyDescent="0.2">
      <c r="A54" s="160"/>
      <c r="B54" s="168" t="s">
        <v>102</v>
      </c>
      <c r="C54" s="165"/>
      <c r="D54" s="165"/>
      <c r="E54" s="166"/>
      <c r="F54" s="166"/>
      <c r="M54" s="240"/>
    </row>
    <row r="55" spans="1:15" x14ac:dyDescent="0.2">
      <c r="A55" s="161"/>
      <c r="B55" s="211" t="s">
        <v>103</v>
      </c>
      <c r="C55" s="165"/>
      <c r="D55" s="167"/>
      <c r="E55" s="166"/>
      <c r="F55" s="166"/>
    </row>
    <row r="56" spans="1:15" ht="13.5" x14ac:dyDescent="0.2">
      <c r="A56" s="162" t="s">
        <v>101</v>
      </c>
      <c r="N56" s="249"/>
    </row>
    <row r="57" spans="1:15" x14ac:dyDescent="0.2">
      <c r="D57" s="8"/>
      <c r="E57" s="8"/>
      <c r="F57" s="8"/>
      <c r="G57" s="8"/>
      <c r="H57" s="8"/>
      <c r="I57" s="8"/>
      <c r="J57" s="8"/>
      <c r="K57" s="8"/>
      <c r="L57" s="8"/>
      <c r="M57" s="173"/>
      <c r="N57" s="173"/>
    </row>
    <row r="58" spans="1:15" x14ac:dyDescent="0.2">
      <c r="B58" s="173"/>
      <c r="D58" s="8"/>
      <c r="E58" s="8"/>
      <c r="F58" s="8"/>
      <c r="G58" s="8"/>
      <c r="H58" s="8"/>
      <c r="I58" s="8"/>
      <c r="J58" s="8"/>
      <c r="K58" s="8"/>
      <c r="L58" s="8"/>
      <c r="M58" s="8"/>
      <c r="N58" s="8"/>
    </row>
    <row r="59" spans="1:15" x14ac:dyDescent="0.2">
      <c r="D59" s="8"/>
      <c r="E59" s="8"/>
      <c r="F59" s="8"/>
      <c r="G59" s="8"/>
      <c r="H59" s="8"/>
      <c r="I59" s="8"/>
      <c r="J59" s="8"/>
      <c r="K59" s="8"/>
      <c r="L59" s="8"/>
      <c r="M59" s="173"/>
      <c r="N59" s="173"/>
    </row>
    <row r="60" spans="1:15" x14ac:dyDescent="0.2">
      <c r="B60" s="173"/>
      <c r="D60" s="8"/>
      <c r="E60" s="8"/>
      <c r="F60" s="8"/>
      <c r="G60" s="8"/>
      <c r="H60" s="8"/>
      <c r="I60" s="8"/>
      <c r="J60" s="8"/>
      <c r="K60" s="8"/>
      <c r="L60" s="8"/>
      <c r="M60" s="8"/>
      <c r="N60" s="8"/>
    </row>
    <row r="61" spans="1:15" x14ac:dyDescent="0.2">
      <c r="D61" s="8"/>
      <c r="E61" s="8"/>
      <c r="F61" s="8"/>
      <c r="G61" s="8"/>
      <c r="H61" s="173"/>
      <c r="I61" s="8"/>
      <c r="J61" s="8"/>
      <c r="K61" s="8"/>
      <c r="L61" s="8"/>
      <c r="M61" s="173"/>
      <c r="N61" s="8"/>
    </row>
    <row r="62" spans="1:15" x14ac:dyDescent="0.2">
      <c r="B62" s="173"/>
      <c r="D62" s="8"/>
      <c r="E62" s="8"/>
      <c r="F62" s="173"/>
      <c r="G62" s="173"/>
      <c r="H62" s="173"/>
      <c r="I62" s="8"/>
      <c r="J62" s="8"/>
      <c r="K62" s="173"/>
      <c r="L62" s="8"/>
      <c r="M62" s="173"/>
      <c r="N62" s="8"/>
      <c r="O62" s="238"/>
    </row>
    <row r="63" spans="1:15" x14ac:dyDescent="0.2">
      <c r="B63" s="173"/>
      <c r="D63" s="8"/>
      <c r="E63" s="8"/>
      <c r="F63" s="8"/>
      <c r="G63" s="8"/>
      <c r="H63" s="8"/>
      <c r="I63" s="8"/>
      <c r="J63" s="8"/>
      <c r="K63" s="173"/>
      <c r="L63" s="8"/>
      <c r="M63" s="8"/>
      <c r="N63" s="8"/>
    </row>
    <row r="64" spans="1:15" x14ac:dyDescent="0.2">
      <c r="D64" s="235"/>
      <c r="M64" s="240"/>
    </row>
    <row r="66" spans="4:4" x14ac:dyDescent="0.2">
      <c r="D66" s="235"/>
    </row>
  </sheetData>
  <pageMargins left="0.70866141732283472" right="0.70866141732283472" top="0.74803149606299213" bottom="0.74803149606299213"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AA66"/>
  <sheetViews>
    <sheetView topLeftCell="A37" zoomScale="90" zoomScaleNormal="90" workbookViewId="0">
      <selection activeCell="M44" sqref="M44"/>
    </sheetView>
  </sheetViews>
  <sheetFormatPr defaultColWidth="9.140625" defaultRowHeight="12.75" x14ac:dyDescent="0.2"/>
  <cols>
    <col min="1" max="1" width="2.85546875" style="184" customWidth="1"/>
    <col min="2" max="2" width="44.140625" style="184" customWidth="1"/>
    <col min="3" max="3" width="8.85546875" style="184" customWidth="1"/>
    <col min="4" max="4" width="8.85546875" style="12" customWidth="1"/>
    <col min="5" max="5" width="8.85546875" style="13" customWidth="1"/>
    <col min="6" max="6" width="8.85546875" style="14" customWidth="1"/>
    <col min="7" max="7" width="8.85546875" style="15" customWidth="1"/>
    <col min="8" max="8" width="8.85546875" style="12" customWidth="1"/>
    <col min="9" max="9" width="8.85546875" style="13" customWidth="1"/>
    <col min="10" max="10" width="8.85546875" style="14" customWidth="1"/>
    <col min="11" max="11" width="8.85546875" style="15" customWidth="1"/>
    <col min="12" max="12" width="8.85546875" style="12" customWidth="1"/>
    <col min="13" max="13" width="8.85546875" style="13" customWidth="1"/>
    <col min="14" max="14" width="8.85546875" style="14" customWidth="1"/>
    <col min="15" max="15" width="8.85546875" style="15" customWidth="1"/>
    <col min="16" max="16" width="8.85546875" style="12" customWidth="1"/>
    <col min="17" max="17" width="8.85546875" style="13" customWidth="1"/>
    <col min="18" max="18" width="8.85546875" style="14" customWidth="1"/>
    <col min="19" max="19" width="9.85546875" style="16" customWidth="1"/>
    <col min="20" max="20" width="2.85546875" style="184" customWidth="1"/>
    <col min="21" max="16384" width="9.140625" style="184"/>
  </cols>
  <sheetData>
    <row r="6" spans="1:23" x14ac:dyDescent="0.2">
      <c r="B6"/>
    </row>
    <row r="8" spans="1:23" x14ac:dyDescent="0.2">
      <c r="O8" s="15" t="s">
        <v>97</v>
      </c>
      <c r="P8" s="12" t="s">
        <v>97</v>
      </c>
    </row>
    <row r="9" spans="1:23" x14ac:dyDescent="0.2">
      <c r="A9" s="243"/>
      <c r="B9" s="183"/>
      <c r="C9" s="183"/>
      <c r="D9" s="2"/>
      <c r="E9" s="3"/>
      <c r="F9" s="4"/>
      <c r="G9" s="5"/>
      <c r="H9" s="2"/>
      <c r="I9" s="3"/>
      <c r="J9" s="4"/>
      <c r="K9" s="5"/>
      <c r="L9" s="2"/>
      <c r="M9" s="3"/>
      <c r="N9" s="4"/>
      <c r="O9" s="5"/>
      <c r="P9" s="2"/>
      <c r="Q9" s="3"/>
      <c r="R9" s="4"/>
      <c r="S9" s="6"/>
      <c r="T9" s="7"/>
    </row>
    <row r="10" spans="1:23" ht="15" x14ac:dyDescent="0.2">
      <c r="A10" s="183"/>
      <c r="B10" s="74" t="s">
        <v>17</v>
      </c>
      <c r="C10" s="43" t="s">
        <v>20</v>
      </c>
      <c r="D10" s="44"/>
      <c r="E10" s="45"/>
      <c r="F10" s="46"/>
      <c r="G10" s="47"/>
      <c r="H10" s="48"/>
      <c r="I10" s="49"/>
      <c r="J10" s="46"/>
      <c r="K10" s="47"/>
      <c r="L10" s="48"/>
      <c r="M10" s="49"/>
      <c r="N10" s="46"/>
      <c r="O10" s="91"/>
      <c r="P10" s="92"/>
      <c r="Q10" s="93"/>
      <c r="R10" s="94"/>
      <c r="S10" s="50"/>
      <c r="T10" s="7"/>
    </row>
    <row r="11" spans="1:23" ht="15.75" x14ac:dyDescent="0.25">
      <c r="A11" s="183"/>
      <c r="B11" s="75" t="s">
        <v>18</v>
      </c>
      <c r="C11" s="244"/>
      <c r="D11" s="96"/>
      <c r="E11" s="97"/>
      <c r="F11" s="245"/>
      <c r="G11" s="244"/>
      <c r="H11" s="96"/>
      <c r="I11" s="97"/>
      <c r="J11" s="245"/>
      <c r="K11" s="244"/>
      <c r="L11" s="96"/>
      <c r="M11" s="97"/>
      <c r="N11" s="245"/>
      <c r="O11" s="95"/>
      <c r="P11" s="96"/>
      <c r="Q11" s="97"/>
      <c r="R11" s="98"/>
      <c r="S11" s="99"/>
      <c r="T11" s="7"/>
    </row>
    <row r="12" spans="1:23" ht="15.75" x14ac:dyDescent="0.25">
      <c r="A12" s="183"/>
      <c r="B12" s="75" t="s">
        <v>19</v>
      </c>
      <c r="C12" s="246" t="s">
        <v>0</v>
      </c>
      <c r="D12" s="246" t="s">
        <v>1</v>
      </c>
      <c r="E12" s="246" t="s">
        <v>2</v>
      </c>
      <c r="F12" s="246" t="s">
        <v>3</v>
      </c>
      <c r="G12" s="246" t="s">
        <v>4</v>
      </c>
      <c r="H12" s="246" t="s">
        <v>5</v>
      </c>
      <c r="I12" s="246" t="s">
        <v>6</v>
      </c>
      <c r="J12" s="246" t="s">
        <v>7</v>
      </c>
      <c r="K12" s="246" t="s">
        <v>8</v>
      </c>
      <c r="L12" s="246" t="s">
        <v>9</v>
      </c>
      <c r="M12" s="246" t="s">
        <v>10</v>
      </c>
      <c r="N12" s="246" t="s">
        <v>11</v>
      </c>
      <c r="O12" s="56" t="s">
        <v>12</v>
      </c>
      <c r="P12" s="57" t="s">
        <v>13</v>
      </c>
      <c r="Q12" s="57" t="s">
        <v>14</v>
      </c>
      <c r="R12" s="58" t="s">
        <v>15</v>
      </c>
      <c r="S12" s="59" t="s">
        <v>16</v>
      </c>
      <c r="T12" s="7"/>
    </row>
    <row r="13" spans="1:23" ht="15.75" x14ac:dyDescent="0.25">
      <c r="A13" s="183"/>
      <c r="B13" s="76"/>
      <c r="C13" s="247"/>
      <c r="D13" s="241"/>
      <c r="E13" s="65"/>
      <c r="F13" s="248"/>
      <c r="G13" s="247"/>
      <c r="H13" s="241"/>
      <c r="I13" s="65"/>
      <c r="J13" s="248"/>
      <c r="K13" s="247"/>
      <c r="L13" s="241"/>
      <c r="M13" s="65"/>
      <c r="N13" s="248"/>
      <c r="O13" s="64"/>
      <c r="P13" s="65"/>
      <c r="Q13" s="65"/>
      <c r="R13" s="66"/>
      <c r="S13" s="59"/>
      <c r="T13" s="7"/>
    </row>
    <row r="14" spans="1:23" ht="17.25" customHeight="1" x14ac:dyDescent="0.25">
      <c r="A14" s="183"/>
      <c r="B14" s="34" t="s">
        <v>51</v>
      </c>
      <c r="C14" s="33">
        <v>2.1000000000000001E-2</v>
      </c>
      <c r="D14" s="33">
        <v>2.4E-2</v>
      </c>
      <c r="E14" s="33">
        <v>2.1999999999999999E-2</v>
      </c>
      <c r="F14" s="33">
        <v>0.02</v>
      </c>
      <c r="G14" s="33">
        <v>1.9E-2</v>
      </c>
      <c r="H14" s="33">
        <v>1.6E-2</v>
      </c>
      <c r="I14" s="158">
        <v>1.7999999999999999E-2</v>
      </c>
      <c r="J14" s="33">
        <v>1.7999999999999999E-2</v>
      </c>
      <c r="K14" s="33">
        <v>2.1000000000000001E-2</v>
      </c>
      <c r="L14" s="181">
        <v>0.03</v>
      </c>
      <c r="M14" s="33">
        <v>4.8000000000000001E-2</v>
      </c>
      <c r="N14" s="33">
        <v>4.5999999999999999E-2</v>
      </c>
      <c r="O14" s="36">
        <f>SUM(C14:E14)</f>
        <v>6.7000000000000004E-2</v>
      </c>
      <c r="P14" s="37">
        <f t="shared" ref="P14:P21" si="0">SUM(F14:H14)</f>
        <v>5.5E-2</v>
      </c>
      <c r="Q14" s="37">
        <f>SUM(I14:K14)</f>
        <v>5.6999999999999995E-2</v>
      </c>
      <c r="R14" s="38">
        <f>SUM(L14:N14)</f>
        <v>0.124</v>
      </c>
      <c r="S14" s="39">
        <f t="shared" ref="S14:S21" si="1">SUM(O14:R14)</f>
        <v>0.30299999999999999</v>
      </c>
      <c r="T14" s="7"/>
      <c r="V14" s="210"/>
      <c r="W14" s="210"/>
    </row>
    <row r="15" spans="1:23" ht="17.25" customHeight="1" x14ac:dyDescent="0.25">
      <c r="A15" s="183"/>
      <c r="B15" s="34" t="s">
        <v>52</v>
      </c>
      <c r="C15" s="33">
        <v>8.31</v>
      </c>
      <c r="D15" s="33">
        <v>7.0350000000000001</v>
      </c>
      <c r="E15" s="33">
        <v>8.5009999999999994</v>
      </c>
      <c r="F15" s="33">
        <v>6.32</v>
      </c>
      <c r="G15" s="33">
        <v>5.3380000000000001</v>
      </c>
      <c r="H15" s="33">
        <v>4.8680000000000003</v>
      </c>
      <c r="I15" s="158">
        <v>5.657</v>
      </c>
      <c r="J15" s="33">
        <v>4.6479999999999997</v>
      </c>
      <c r="K15" s="33">
        <v>5.3449999999999998</v>
      </c>
      <c r="L15" s="181">
        <v>6.899</v>
      </c>
      <c r="M15" s="33">
        <v>7.97</v>
      </c>
      <c r="N15" s="33">
        <v>8.2690000000000001</v>
      </c>
      <c r="O15" s="36">
        <f t="shared" ref="O15:O21" si="2">SUM(C15:E15)</f>
        <v>23.846</v>
      </c>
      <c r="P15" s="37">
        <f t="shared" si="0"/>
        <v>16.526000000000003</v>
      </c>
      <c r="Q15" s="37">
        <f t="shared" ref="Q15:Q21" si="3">SUM(I15:K15)</f>
        <v>15.649999999999999</v>
      </c>
      <c r="R15" s="38">
        <f t="shared" ref="R15:R21" si="4">SUM(L15:N15)</f>
        <v>23.137999999999998</v>
      </c>
      <c r="S15" s="39">
        <f t="shared" si="1"/>
        <v>79.16</v>
      </c>
      <c r="T15" s="7"/>
      <c r="V15" s="210"/>
      <c r="W15" s="210"/>
    </row>
    <row r="16" spans="1:23" ht="17.25" customHeight="1" x14ac:dyDescent="0.25">
      <c r="A16" s="183"/>
      <c r="B16" s="34" t="s">
        <v>53</v>
      </c>
      <c r="C16" s="33">
        <v>18.114999999999998</v>
      </c>
      <c r="D16" s="33">
        <v>13.853</v>
      </c>
      <c r="E16" s="33">
        <v>14.657</v>
      </c>
      <c r="F16" s="33">
        <v>11.331</v>
      </c>
      <c r="G16" s="33">
        <v>8.7609999999999992</v>
      </c>
      <c r="H16" s="33">
        <v>7.9539999999999997</v>
      </c>
      <c r="I16" s="158">
        <v>9.74</v>
      </c>
      <c r="J16" s="33">
        <v>9.3840000000000003</v>
      </c>
      <c r="K16" s="33">
        <v>11.545999999999999</v>
      </c>
      <c r="L16" s="181">
        <v>14.925000000000001</v>
      </c>
      <c r="M16" s="33">
        <v>15.45</v>
      </c>
      <c r="N16" s="33">
        <v>16.760999999999999</v>
      </c>
      <c r="O16" s="36">
        <f t="shared" si="2"/>
        <v>46.625</v>
      </c>
      <c r="P16" s="37">
        <f t="shared" si="0"/>
        <v>28.045999999999999</v>
      </c>
      <c r="Q16" s="37">
        <f t="shared" si="3"/>
        <v>30.67</v>
      </c>
      <c r="R16" s="38">
        <f t="shared" si="4"/>
        <v>47.135999999999996</v>
      </c>
      <c r="S16" s="39">
        <f t="shared" si="1"/>
        <v>152.47699999999998</v>
      </c>
      <c r="T16" s="7"/>
      <c r="V16" s="210"/>
      <c r="W16" s="210"/>
    </row>
    <row r="17" spans="1:23" ht="17.25" customHeight="1" x14ac:dyDescent="0.25">
      <c r="A17" s="183"/>
      <c r="B17" s="34" t="s">
        <v>54</v>
      </c>
      <c r="C17" s="33">
        <v>56.000999999999998</v>
      </c>
      <c r="D17" s="33">
        <v>46.460999999999999</v>
      </c>
      <c r="E17" s="33">
        <v>51.369</v>
      </c>
      <c r="F17" s="33">
        <v>55.973999999999997</v>
      </c>
      <c r="G17" s="33">
        <v>49.061999999999998</v>
      </c>
      <c r="H17" s="33">
        <v>47.798000000000002</v>
      </c>
      <c r="I17" s="158">
        <v>55.296999999999997</v>
      </c>
      <c r="J17" s="33">
        <v>41.209000000000003</v>
      </c>
      <c r="K17" s="33">
        <v>43.279000000000003</v>
      </c>
      <c r="L17" s="181">
        <v>50.348999999999997</v>
      </c>
      <c r="M17" s="33">
        <v>49.698</v>
      </c>
      <c r="N17" s="33">
        <v>51.911999999999999</v>
      </c>
      <c r="O17" s="36">
        <f t="shared" si="2"/>
        <v>153.83099999999999</v>
      </c>
      <c r="P17" s="37">
        <f t="shared" si="0"/>
        <v>152.834</v>
      </c>
      <c r="Q17" s="37">
        <f t="shared" si="3"/>
        <v>139.785</v>
      </c>
      <c r="R17" s="38">
        <f t="shared" si="4"/>
        <v>151.959</v>
      </c>
      <c r="S17" s="39">
        <f t="shared" si="1"/>
        <v>598.40899999999988</v>
      </c>
      <c r="T17" s="7"/>
      <c r="V17" s="210"/>
      <c r="W17" s="210"/>
    </row>
    <row r="18" spans="1:23" ht="17.25" customHeight="1" x14ac:dyDescent="0.25">
      <c r="A18" s="183"/>
      <c r="B18" s="34" t="s">
        <v>55</v>
      </c>
      <c r="C18" s="33">
        <v>0.72499999999999998</v>
      </c>
      <c r="D18" s="33">
        <v>0.63</v>
      </c>
      <c r="E18" s="33">
        <v>0.64900000000000002</v>
      </c>
      <c r="F18" s="33">
        <v>0.433</v>
      </c>
      <c r="G18" s="33">
        <v>0.33500000000000002</v>
      </c>
      <c r="H18" s="33">
        <v>0.33900000000000002</v>
      </c>
      <c r="I18" s="158">
        <v>0.28799999999999998</v>
      </c>
      <c r="J18" s="33">
        <v>0.23</v>
      </c>
      <c r="K18" s="33">
        <v>0.42599999999999999</v>
      </c>
      <c r="L18" s="181">
        <v>0.47399999999999998</v>
      </c>
      <c r="M18" s="33">
        <v>0.65200000000000002</v>
      </c>
      <c r="N18" s="33">
        <v>0.56699999999999995</v>
      </c>
      <c r="O18" s="36">
        <f t="shared" si="2"/>
        <v>2.004</v>
      </c>
      <c r="P18" s="37">
        <f t="shared" si="0"/>
        <v>1.107</v>
      </c>
      <c r="Q18" s="37">
        <f t="shared" si="3"/>
        <v>0.94399999999999995</v>
      </c>
      <c r="R18" s="38">
        <f t="shared" si="4"/>
        <v>1.6929999999999998</v>
      </c>
      <c r="S18" s="39">
        <f t="shared" si="1"/>
        <v>5.7479999999999993</v>
      </c>
      <c r="T18" s="7"/>
      <c r="V18" s="210"/>
      <c r="W18" s="210"/>
    </row>
    <row r="19" spans="1:23" ht="17.25" customHeight="1" x14ac:dyDescent="0.25">
      <c r="A19" s="183"/>
      <c r="B19" s="34" t="s">
        <v>89</v>
      </c>
      <c r="C19" s="33">
        <v>26.314</v>
      </c>
      <c r="D19" s="33">
        <v>22.495000000000001</v>
      </c>
      <c r="E19" s="33">
        <v>20.625</v>
      </c>
      <c r="F19" s="33">
        <v>17.015999999999998</v>
      </c>
      <c r="G19" s="33">
        <v>11.49</v>
      </c>
      <c r="H19" s="33">
        <v>13.116</v>
      </c>
      <c r="I19" s="158">
        <v>15.356999999999999</v>
      </c>
      <c r="J19" s="33">
        <v>14.189</v>
      </c>
      <c r="K19" s="33">
        <v>17.613</v>
      </c>
      <c r="L19" s="181">
        <v>25.652999999999999</v>
      </c>
      <c r="M19" s="33">
        <v>26.283000000000001</v>
      </c>
      <c r="N19" s="33">
        <v>28.045000000000002</v>
      </c>
      <c r="O19" s="36">
        <f t="shared" si="2"/>
        <v>69.433999999999997</v>
      </c>
      <c r="P19" s="37">
        <f t="shared" si="0"/>
        <v>41.622</v>
      </c>
      <c r="Q19" s="37">
        <f t="shared" si="3"/>
        <v>47.158999999999999</v>
      </c>
      <c r="R19" s="38">
        <f t="shared" si="4"/>
        <v>79.980999999999995</v>
      </c>
      <c r="S19" s="39">
        <f t="shared" si="1"/>
        <v>238.196</v>
      </c>
      <c r="T19" s="7"/>
      <c r="V19" s="210"/>
      <c r="W19" s="210"/>
    </row>
    <row r="20" spans="1:23" ht="17.25" customHeight="1" x14ac:dyDescent="0.25">
      <c r="A20" s="183"/>
      <c r="B20" s="34" t="s">
        <v>90</v>
      </c>
      <c r="C20" s="33">
        <v>24.564</v>
      </c>
      <c r="D20" s="33">
        <v>21.137</v>
      </c>
      <c r="E20" s="33">
        <v>22.887</v>
      </c>
      <c r="F20" s="33">
        <v>19.058</v>
      </c>
      <c r="G20" s="33">
        <v>12.984999999999999</v>
      </c>
      <c r="H20" s="33">
        <v>12.241</v>
      </c>
      <c r="I20" s="158">
        <v>14.367000000000001</v>
      </c>
      <c r="J20" s="33">
        <v>12.672000000000001</v>
      </c>
      <c r="K20" s="33">
        <v>14.343</v>
      </c>
      <c r="L20" s="181">
        <v>21.262</v>
      </c>
      <c r="M20" s="33">
        <v>19.803000000000001</v>
      </c>
      <c r="N20" s="33">
        <v>24.448</v>
      </c>
      <c r="O20" s="36">
        <f t="shared" si="2"/>
        <v>68.587999999999994</v>
      </c>
      <c r="P20" s="37">
        <f t="shared" si="0"/>
        <v>44.283999999999999</v>
      </c>
      <c r="Q20" s="37">
        <f t="shared" si="3"/>
        <v>41.382000000000005</v>
      </c>
      <c r="R20" s="38">
        <f t="shared" si="4"/>
        <v>65.513000000000005</v>
      </c>
      <c r="S20" s="39">
        <f t="shared" si="1"/>
        <v>219.767</v>
      </c>
      <c r="T20" s="7"/>
      <c r="V20" s="210"/>
      <c r="W20" s="210"/>
    </row>
    <row r="21" spans="1:23" ht="17.25" customHeight="1" thickBot="1" x14ac:dyDescent="0.3">
      <c r="A21" s="183"/>
      <c r="B21" s="77" t="s">
        <v>57</v>
      </c>
      <c r="C21" s="78">
        <v>0.11799999999999999</v>
      </c>
      <c r="D21" s="78">
        <v>6.4000000000000001E-2</v>
      </c>
      <c r="E21" s="78">
        <v>0.06</v>
      </c>
      <c r="F21" s="78">
        <v>3.7999999999999999E-2</v>
      </c>
      <c r="G21" s="78">
        <v>3.6999999999999998E-2</v>
      </c>
      <c r="H21" s="78">
        <v>3.4000000000000002E-2</v>
      </c>
      <c r="I21" s="159">
        <v>5.7000000000000002E-2</v>
      </c>
      <c r="J21" s="78">
        <v>4.1000000000000002E-2</v>
      </c>
      <c r="K21" s="78">
        <v>7.1999999999999995E-2</v>
      </c>
      <c r="L21" s="182">
        <v>0.17799999999999999</v>
      </c>
      <c r="M21" s="78">
        <v>0.23</v>
      </c>
      <c r="N21" s="78">
        <v>0.219</v>
      </c>
      <c r="O21" s="36">
        <f t="shared" si="2"/>
        <v>0.24199999999999999</v>
      </c>
      <c r="P21" s="79">
        <f t="shared" si="0"/>
        <v>0.109</v>
      </c>
      <c r="Q21" s="79">
        <f t="shared" si="3"/>
        <v>0.16999999999999998</v>
      </c>
      <c r="R21" s="80">
        <f t="shared" si="4"/>
        <v>0.627</v>
      </c>
      <c r="S21" s="81">
        <f t="shared" si="1"/>
        <v>1.1479999999999999</v>
      </c>
      <c r="T21" s="7"/>
      <c r="V21" s="210"/>
      <c r="W21" s="210"/>
    </row>
    <row r="22" spans="1:23" s="10" customFormat="1" ht="17.25" customHeight="1" thickBot="1" x14ac:dyDescent="0.3">
      <c r="A22" s="9"/>
      <c r="B22" s="86" t="s">
        <v>58</v>
      </c>
      <c r="C22" s="87">
        <f t="shared" ref="C22:S22" si="5">SUM(C14:C21)</f>
        <v>134.16799999999998</v>
      </c>
      <c r="D22" s="87">
        <f t="shared" si="5"/>
        <v>111.69899999999998</v>
      </c>
      <c r="E22" s="87">
        <f t="shared" si="5"/>
        <v>118.77000000000001</v>
      </c>
      <c r="F22" s="87">
        <f t="shared" si="5"/>
        <v>110.18999999999998</v>
      </c>
      <c r="G22" s="87">
        <f t="shared" si="5"/>
        <v>88.027000000000001</v>
      </c>
      <c r="H22" s="87">
        <f t="shared" si="5"/>
        <v>86.366000000000014</v>
      </c>
      <c r="I22" s="171">
        <f t="shared" si="5"/>
        <v>100.78099999999999</v>
      </c>
      <c r="J22" s="87">
        <f t="shared" si="5"/>
        <v>82.390999999999991</v>
      </c>
      <c r="K22" s="87">
        <f t="shared" si="5"/>
        <v>92.64500000000001</v>
      </c>
      <c r="L22" s="87">
        <f t="shared" si="5"/>
        <v>119.77000000000001</v>
      </c>
      <c r="M22" s="87">
        <f t="shared" si="5"/>
        <v>120.134</v>
      </c>
      <c r="N22" s="163">
        <f t="shared" si="5"/>
        <v>130.267</v>
      </c>
      <c r="O22" s="164">
        <f t="shared" si="5"/>
        <v>364.637</v>
      </c>
      <c r="P22" s="164">
        <f t="shared" si="5"/>
        <v>284.58299999999997</v>
      </c>
      <c r="Q22" s="87">
        <f t="shared" si="5"/>
        <v>275.81700000000001</v>
      </c>
      <c r="R22" s="87">
        <f t="shared" si="5"/>
        <v>370.17099999999999</v>
      </c>
      <c r="S22" s="88">
        <f t="shared" si="5"/>
        <v>1295.2079999999999</v>
      </c>
      <c r="T22" s="9"/>
      <c r="V22" s="210"/>
      <c r="W22" s="210"/>
    </row>
    <row r="23" spans="1:23" ht="17.25" customHeight="1" x14ac:dyDescent="0.25">
      <c r="A23" s="183"/>
      <c r="B23" s="82" t="s">
        <v>59</v>
      </c>
      <c r="C23" s="83">
        <v>2.8540000000000001</v>
      </c>
      <c r="D23" s="83">
        <v>2.8809999999999998</v>
      </c>
      <c r="E23" s="83">
        <v>2.85</v>
      </c>
      <c r="F23" s="83">
        <v>2.835</v>
      </c>
      <c r="G23" s="83">
        <v>2.5409999999999999</v>
      </c>
      <c r="H23" s="83">
        <v>2.016</v>
      </c>
      <c r="I23" s="172">
        <v>1.992</v>
      </c>
      <c r="J23" s="83">
        <v>1.8540000000000001</v>
      </c>
      <c r="K23" s="83">
        <v>2.0009999999999999</v>
      </c>
      <c r="L23" s="83">
        <v>2.11</v>
      </c>
      <c r="M23" s="83">
        <v>2.3580000000000001</v>
      </c>
      <c r="N23" s="83">
        <v>2.516</v>
      </c>
      <c r="O23" s="36">
        <f>SUM(C23:E23)</f>
        <v>8.5849999999999991</v>
      </c>
      <c r="P23" s="84">
        <f t="shared" ref="P23:P28" si="6">SUM(F23:H23)</f>
        <v>7.3919999999999995</v>
      </c>
      <c r="Q23" s="84">
        <f t="shared" ref="Q23:Q28" si="7">SUM(I23:K23)</f>
        <v>5.8469999999999995</v>
      </c>
      <c r="R23" s="85">
        <f t="shared" ref="R23:R28" si="8">SUM(L23:N23)</f>
        <v>6.984</v>
      </c>
      <c r="S23" s="40">
        <f t="shared" ref="S23:S28" si="9">SUM(O23:R23)</f>
        <v>28.808</v>
      </c>
      <c r="T23" s="7"/>
      <c r="V23" s="210"/>
      <c r="W23" s="210"/>
    </row>
    <row r="24" spans="1:23" ht="17.25" customHeight="1" x14ac:dyDescent="0.25">
      <c r="A24" s="183"/>
      <c r="B24" s="34" t="s">
        <v>60</v>
      </c>
      <c r="C24" s="33">
        <v>3.45</v>
      </c>
      <c r="D24" s="33">
        <v>3.117</v>
      </c>
      <c r="E24" s="33">
        <v>3.274</v>
      </c>
      <c r="F24" s="33">
        <v>3.4750000000000001</v>
      </c>
      <c r="G24" s="33">
        <v>3.17</v>
      </c>
      <c r="H24" s="33">
        <v>2.6970000000000001</v>
      </c>
      <c r="I24" s="158">
        <v>2.62</v>
      </c>
      <c r="J24" s="33">
        <v>2.3279999999999998</v>
      </c>
      <c r="K24" s="33">
        <v>2.5489999999999999</v>
      </c>
      <c r="L24" s="33">
        <v>2.9430000000000001</v>
      </c>
      <c r="M24" s="33">
        <v>2.8820000000000001</v>
      </c>
      <c r="N24" s="33">
        <v>3.1309999999999998</v>
      </c>
      <c r="O24" s="36">
        <f t="shared" ref="O24:O28" si="10">SUM(C24:E24)</f>
        <v>9.8410000000000011</v>
      </c>
      <c r="P24" s="37">
        <f t="shared" si="6"/>
        <v>9.3419999999999987</v>
      </c>
      <c r="Q24" s="37">
        <f t="shared" si="7"/>
        <v>7.4969999999999999</v>
      </c>
      <c r="R24" s="38">
        <f t="shared" si="8"/>
        <v>8.9559999999999995</v>
      </c>
      <c r="S24" s="40">
        <f t="shared" si="9"/>
        <v>35.635999999999996</v>
      </c>
      <c r="T24" s="7"/>
      <c r="V24" s="210"/>
      <c r="W24" s="210"/>
    </row>
    <row r="25" spans="1:23" ht="17.25" customHeight="1" x14ac:dyDescent="0.25">
      <c r="A25" s="183"/>
      <c r="B25" s="34" t="s">
        <v>61</v>
      </c>
      <c r="C25" s="33">
        <v>4.7329999999999997</v>
      </c>
      <c r="D25" s="33">
        <v>3.2970000000000002</v>
      </c>
      <c r="E25" s="33">
        <v>3.7069999999999999</v>
      </c>
      <c r="F25" s="33">
        <v>4.468</v>
      </c>
      <c r="G25" s="33">
        <v>4.5190000000000001</v>
      </c>
      <c r="H25" s="33">
        <v>3.7669999999999999</v>
      </c>
      <c r="I25" s="158">
        <v>4.0839999999999996</v>
      </c>
      <c r="J25" s="33">
        <v>3.7170000000000001</v>
      </c>
      <c r="K25" s="33">
        <v>4.4980000000000002</v>
      </c>
      <c r="L25" s="33">
        <v>5.2220000000000004</v>
      </c>
      <c r="M25" s="33">
        <v>3.76</v>
      </c>
      <c r="N25" s="33">
        <v>4.0869999999999997</v>
      </c>
      <c r="O25" s="36">
        <f t="shared" si="10"/>
        <v>11.736999999999998</v>
      </c>
      <c r="P25" s="37">
        <f t="shared" si="6"/>
        <v>12.754</v>
      </c>
      <c r="Q25" s="37">
        <f t="shared" si="7"/>
        <v>12.298999999999999</v>
      </c>
      <c r="R25" s="38">
        <f t="shared" si="8"/>
        <v>13.068999999999999</v>
      </c>
      <c r="S25" s="39">
        <f t="shared" si="9"/>
        <v>49.858999999999995</v>
      </c>
      <c r="T25" s="7"/>
      <c r="V25" s="210"/>
      <c r="W25" s="210"/>
    </row>
    <row r="26" spans="1:23" ht="17.25" customHeight="1" x14ac:dyDescent="0.25">
      <c r="A26" s="183"/>
      <c r="B26" s="34" t="s">
        <v>62</v>
      </c>
      <c r="C26" s="33">
        <v>10.340999999999999</v>
      </c>
      <c r="D26" s="33">
        <v>9.2360000000000007</v>
      </c>
      <c r="E26" s="33">
        <v>7.8689999999999998</v>
      </c>
      <c r="F26" s="33">
        <v>7.58</v>
      </c>
      <c r="G26" s="33">
        <v>8.9359999999999999</v>
      </c>
      <c r="H26" s="33">
        <v>7.8109999999999999</v>
      </c>
      <c r="I26" s="158">
        <v>9.3089999999999993</v>
      </c>
      <c r="J26" s="33">
        <v>7.15</v>
      </c>
      <c r="K26" s="33">
        <v>7.02</v>
      </c>
      <c r="L26" s="33">
        <v>10.196999999999999</v>
      </c>
      <c r="M26" s="33">
        <v>7.9240000000000004</v>
      </c>
      <c r="N26" s="33">
        <v>8.7159999999999993</v>
      </c>
      <c r="O26" s="36">
        <f t="shared" si="10"/>
        <v>27.445999999999998</v>
      </c>
      <c r="P26" s="37">
        <f t="shared" si="6"/>
        <v>24.326999999999998</v>
      </c>
      <c r="Q26" s="37">
        <f t="shared" si="7"/>
        <v>23.478999999999999</v>
      </c>
      <c r="R26" s="38">
        <f t="shared" si="8"/>
        <v>26.836999999999996</v>
      </c>
      <c r="S26" s="39">
        <f t="shared" si="9"/>
        <v>102.089</v>
      </c>
      <c r="T26" s="7"/>
      <c r="V26" s="210"/>
      <c r="W26" s="210"/>
    </row>
    <row r="27" spans="1:23" ht="17.25" customHeight="1" x14ac:dyDescent="0.25">
      <c r="A27" s="183"/>
      <c r="B27" s="34" t="s">
        <v>63</v>
      </c>
      <c r="C27" s="33">
        <v>3.61</v>
      </c>
      <c r="D27" s="33">
        <v>2.54</v>
      </c>
      <c r="E27" s="33">
        <v>2.6920000000000002</v>
      </c>
      <c r="F27" s="33">
        <v>2.879</v>
      </c>
      <c r="G27" s="33">
        <v>3.0510000000000002</v>
      </c>
      <c r="H27" s="33">
        <v>2.8</v>
      </c>
      <c r="I27" s="158">
        <v>3.0110000000000001</v>
      </c>
      <c r="J27" s="33">
        <v>2.4140000000000001</v>
      </c>
      <c r="K27" s="33">
        <v>2.3889999999999998</v>
      </c>
      <c r="L27" s="33">
        <v>3.3460000000000001</v>
      </c>
      <c r="M27" s="33">
        <v>2.762</v>
      </c>
      <c r="N27" s="33">
        <v>3.16</v>
      </c>
      <c r="O27" s="36">
        <f t="shared" si="10"/>
        <v>8.8420000000000005</v>
      </c>
      <c r="P27" s="37">
        <f t="shared" si="6"/>
        <v>8.73</v>
      </c>
      <c r="Q27" s="37">
        <f t="shared" si="7"/>
        <v>7.8140000000000001</v>
      </c>
      <c r="R27" s="38">
        <f t="shared" si="8"/>
        <v>9.2680000000000007</v>
      </c>
      <c r="S27" s="39">
        <f t="shared" si="9"/>
        <v>34.654000000000003</v>
      </c>
      <c r="T27" s="7"/>
      <c r="V27" s="210"/>
      <c r="W27" s="210"/>
    </row>
    <row r="28" spans="1:23" ht="17.25" customHeight="1" thickBot="1" x14ac:dyDescent="0.3">
      <c r="A28" s="183"/>
      <c r="B28" s="77" t="s">
        <v>57</v>
      </c>
      <c r="C28" s="78">
        <v>2E-3</v>
      </c>
      <c r="D28" s="78">
        <v>1E-3</v>
      </c>
      <c r="E28" s="78">
        <v>1E-3</v>
      </c>
      <c r="F28" s="78">
        <v>1E-3</v>
      </c>
      <c r="G28" s="78">
        <v>2E-3</v>
      </c>
      <c r="H28" s="78">
        <v>2E-3</v>
      </c>
      <c r="I28" s="159">
        <v>1E-3</v>
      </c>
      <c r="J28" s="78">
        <v>8.9999999999999993E-3</v>
      </c>
      <c r="K28" s="78">
        <v>5.0000000000000001E-3</v>
      </c>
      <c r="L28" s="78">
        <v>1E-3</v>
      </c>
      <c r="M28" s="78">
        <v>1E-3</v>
      </c>
      <c r="N28" s="78">
        <v>1E-3</v>
      </c>
      <c r="O28" s="36">
        <f t="shared" si="10"/>
        <v>4.0000000000000001E-3</v>
      </c>
      <c r="P28" s="79">
        <f t="shared" si="6"/>
        <v>5.0000000000000001E-3</v>
      </c>
      <c r="Q28" s="79">
        <f t="shared" si="7"/>
        <v>1.4999999999999999E-2</v>
      </c>
      <c r="R28" s="80">
        <f t="shared" si="8"/>
        <v>3.0000000000000001E-3</v>
      </c>
      <c r="S28" s="81">
        <f t="shared" si="9"/>
        <v>2.7E-2</v>
      </c>
      <c r="T28" s="7"/>
      <c r="V28" s="210"/>
      <c r="W28" s="210"/>
    </row>
    <row r="29" spans="1:23" s="10" customFormat="1" ht="17.25" customHeight="1" thickBot="1" x14ac:dyDescent="0.3">
      <c r="A29" s="9"/>
      <c r="B29" s="86" t="s">
        <v>64</v>
      </c>
      <c r="C29" s="87">
        <f t="shared" ref="C29:N29" si="11">SUM(C23:C28)</f>
        <v>24.99</v>
      </c>
      <c r="D29" s="87">
        <f t="shared" si="11"/>
        <v>21.071999999999999</v>
      </c>
      <c r="E29" s="87">
        <f t="shared" si="11"/>
        <v>20.393000000000001</v>
      </c>
      <c r="F29" s="87">
        <f t="shared" si="11"/>
        <v>21.238000000000003</v>
      </c>
      <c r="G29" s="87">
        <f t="shared" si="11"/>
        <v>22.218999999999998</v>
      </c>
      <c r="H29" s="87">
        <f t="shared" si="11"/>
        <v>19.093</v>
      </c>
      <c r="I29" s="171">
        <f t="shared" si="11"/>
        <v>21.016999999999999</v>
      </c>
      <c r="J29" s="87">
        <f t="shared" si="11"/>
        <v>17.472000000000001</v>
      </c>
      <c r="K29" s="87">
        <f t="shared" si="11"/>
        <v>18.461999999999996</v>
      </c>
      <c r="L29" s="87">
        <f t="shared" si="11"/>
        <v>23.819000000000003</v>
      </c>
      <c r="M29" s="87">
        <f t="shared" si="11"/>
        <v>19.687000000000001</v>
      </c>
      <c r="N29" s="87">
        <f t="shared" si="11"/>
        <v>21.611000000000001</v>
      </c>
      <c r="O29" s="87">
        <f>SUM(O23:O28)</f>
        <v>66.454999999999998</v>
      </c>
      <c r="P29" s="87">
        <f>SUM(P23:P28)</f>
        <v>62.550000000000004</v>
      </c>
      <c r="Q29" s="87">
        <f>SUM(Q23:Q28)</f>
        <v>56.951000000000001</v>
      </c>
      <c r="R29" s="87">
        <f>SUM(R23:R28)</f>
        <v>65.117000000000004</v>
      </c>
      <c r="S29" s="88">
        <f>SUM(S23:S28)</f>
        <v>251.07299999999998</v>
      </c>
      <c r="T29" s="9"/>
      <c r="V29" s="210"/>
      <c r="W29" s="210"/>
    </row>
    <row r="30" spans="1:23" ht="17.25" customHeight="1" x14ac:dyDescent="0.25">
      <c r="A30" s="183"/>
      <c r="B30" s="82" t="s">
        <v>65</v>
      </c>
      <c r="C30" s="83">
        <v>2.5259999999999998</v>
      </c>
      <c r="D30" s="83">
        <v>1.7889999999999999</v>
      </c>
      <c r="E30" s="83">
        <v>2.194</v>
      </c>
      <c r="F30" s="83">
        <v>2.2290000000000001</v>
      </c>
      <c r="G30" s="83">
        <v>2.427</v>
      </c>
      <c r="H30" s="83">
        <v>2.3849999999999998</v>
      </c>
      <c r="I30" s="172">
        <v>2.5009999999999999</v>
      </c>
      <c r="J30" s="83">
        <v>1.9239999999999999</v>
      </c>
      <c r="K30" s="83">
        <v>2.097</v>
      </c>
      <c r="L30" s="83">
        <v>2.3090000000000002</v>
      </c>
      <c r="M30" s="83">
        <v>1.831</v>
      </c>
      <c r="N30" s="83">
        <v>2.58</v>
      </c>
      <c r="O30" s="36">
        <f>SUM(C30:E30)</f>
        <v>6.5089999999999995</v>
      </c>
      <c r="P30" s="84">
        <f>SUM(F30:H30)</f>
        <v>7.0410000000000004</v>
      </c>
      <c r="Q30" s="84">
        <f>SUM(I30:K30)</f>
        <v>6.5220000000000002</v>
      </c>
      <c r="R30" s="85">
        <f>SUM(L30:N30)</f>
        <v>6.7200000000000006</v>
      </c>
      <c r="S30" s="40">
        <f>SUM(O30:R30)</f>
        <v>26.792000000000002</v>
      </c>
      <c r="T30" s="7"/>
      <c r="V30" s="210"/>
      <c r="W30" s="210"/>
    </row>
    <row r="31" spans="1:23" ht="17.25" customHeight="1" x14ac:dyDescent="0.25">
      <c r="A31" s="183"/>
      <c r="B31" s="34" t="s">
        <v>66</v>
      </c>
      <c r="C31" s="33">
        <f>21.507+6.667</f>
        <v>28.173999999999999</v>
      </c>
      <c r="D31" s="33">
        <f>19.171+4.92</f>
        <v>24.091000000000001</v>
      </c>
      <c r="E31" s="33">
        <f>19.232+5.458</f>
        <v>24.689999999999998</v>
      </c>
      <c r="F31" s="33">
        <f>22.245+5.228</f>
        <v>27.472999999999999</v>
      </c>
      <c r="G31" s="33">
        <f>19.646+4.519</f>
        <v>24.164999999999999</v>
      </c>
      <c r="H31" s="33">
        <f>16.73+5.038</f>
        <v>21.768000000000001</v>
      </c>
      <c r="I31" s="158">
        <f>20.469+6.566</f>
        <v>27.035</v>
      </c>
      <c r="J31" s="33">
        <f>16.205+5.388</f>
        <v>21.592999999999996</v>
      </c>
      <c r="K31" s="33">
        <f>17.129+5.254</f>
        <v>22.383000000000003</v>
      </c>
      <c r="L31" s="33">
        <f>20.35+6.205</f>
        <v>26.555</v>
      </c>
      <c r="M31" s="33">
        <f>17.659+5.235</f>
        <v>22.893999999999998</v>
      </c>
      <c r="N31" s="33">
        <f>19.282+6.516</f>
        <v>25.798000000000002</v>
      </c>
      <c r="O31" s="36">
        <f t="shared" ref="O31:O33" si="12">SUM(C31:E31)</f>
        <v>76.954999999999998</v>
      </c>
      <c r="P31" s="37">
        <f>SUM(F31:H31)</f>
        <v>73.406000000000006</v>
      </c>
      <c r="Q31" s="37">
        <f>SUM(I31:K31)</f>
        <v>71.010999999999996</v>
      </c>
      <c r="R31" s="38">
        <f>SUM(L31:N31)</f>
        <v>75.247</v>
      </c>
      <c r="S31" s="39">
        <f>SUM(O31:R31)</f>
        <v>296.61899999999997</v>
      </c>
      <c r="T31" s="7"/>
      <c r="V31" s="210"/>
      <c r="W31" s="210"/>
    </row>
    <row r="32" spans="1:23" ht="17.25" customHeight="1" x14ac:dyDescent="0.25">
      <c r="A32" s="183"/>
      <c r="B32" s="34" t="s">
        <v>67</v>
      </c>
      <c r="C32" s="33">
        <v>44.798000000000002</v>
      </c>
      <c r="D32" s="33">
        <v>36.146000000000001</v>
      </c>
      <c r="E32" s="33">
        <v>38.051000000000002</v>
      </c>
      <c r="F32" s="33">
        <v>39.923999999999999</v>
      </c>
      <c r="G32" s="33">
        <v>40.125999999999998</v>
      </c>
      <c r="H32" s="33">
        <v>36.735999999999997</v>
      </c>
      <c r="I32" s="158">
        <v>43.463999999999999</v>
      </c>
      <c r="J32" s="33">
        <v>34.103999999999999</v>
      </c>
      <c r="K32" s="33">
        <v>34.073999999999998</v>
      </c>
      <c r="L32" s="33">
        <v>41.902000000000001</v>
      </c>
      <c r="M32" s="33">
        <v>31.797000000000001</v>
      </c>
      <c r="N32" s="33">
        <v>35.595999999999997</v>
      </c>
      <c r="O32" s="36">
        <f t="shared" si="12"/>
        <v>118.995</v>
      </c>
      <c r="P32" s="37">
        <f>SUM(F32:H32)</f>
        <v>116.786</v>
      </c>
      <c r="Q32" s="37">
        <f>SUM(I32:K32)</f>
        <v>111.642</v>
      </c>
      <c r="R32" s="38">
        <f>SUM(L32:N32)</f>
        <v>109.29499999999999</v>
      </c>
      <c r="S32" s="39">
        <f>SUM(O32:R32)</f>
        <v>456.71799999999996</v>
      </c>
      <c r="T32" s="7"/>
      <c r="V32" s="210"/>
      <c r="W32" s="210"/>
    </row>
    <row r="33" spans="1:27" ht="17.25" customHeight="1" thickBot="1" x14ac:dyDescent="0.3">
      <c r="A33" s="183"/>
      <c r="B33" s="77" t="s">
        <v>68</v>
      </c>
      <c r="C33" s="78">
        <f>1.536+3.107</f>
        <v>4.6430000000000007</v>
      </c>
      <c r="D33" s="78">
        <f>0.144+2.413</f>
        <v>2.5569999999999999</v>
      </c>
      <c r="E33" s="78">
        <f>1.209+2.401</f>
        <v>3.61</v>
      </c>
      <c r="F33" s="78">
        <f>0.124+2.64</f>
        <v>2.7640000000000002</v>
      </c>
      <c r="G33" s="78">
        <f>1.247+1.273</f>
        <v>2.52</v>
      </c>
      <c r="H33" s="78">
        <f>0.208+2.952+0.04</f>
        <v>3.2</v>
      </c>
      <c r="I33" s="159">
        <f>1.418+2.373+0.008</f>
        <v>3.7990000000000004</v>
      </c>
      <c r="J33" s="78">
        <f>1.586+2.899</f>
        <v>4.4850000000000003</v>
      </c>
      <c r="K33" s="78">
        <f>1.771+2.078</f>
        <v>3.8489999999999998</v>
      </c>
      <c r="L33" s="78">
        <f>2.889+2.58</f>
        <v>5.4689999999999994</v>
      </c>
      <c r="M33" s="78">
        <f>1.547+3.702</f>
        <v>5.2489999999999997</v>
      </c>
      <c r="N33" s="78">
        <f>1.184+4.55</f>
        <v>5.734</v>
      </c>
      <c r="O33" s="36">
        <f t="shared" si="12"/>
        <v>10.81</v>
      </c>
      <c r="P33" s="79">
        <f>SUM(F33:H33)</f>
        <v>8.4840000000000018</v>
      </c>
      <c r="Q33" s="79">
        <f>SUM(I33:K33)</f>
        <v>12.133000000000001</v>
      </c>
      <c r="R33" s="80">
        <f>SUM(L33:N33)</f>
        <v>16.451999999999998</v>
      </c>
      <c r="S33" s="41">
        <f>SUM(O33:R33)</f>
        <v>47.879000000000005</v>
      </c>
      <c r="T33" s="7"/>
      <c r="V33" s="210"/>
      <c r="W33" s="210"/>
    </row>
    <row r="34" spans="1:27" s="10" customFormat="1" ht="17.25" customHeight="1" thickBot="1" x14ac:dyDescent="0.3">
      <c r="A34" s="9"/>
      <c r="B34" s="86" t="s">
        <v>69</v>
      </c>
      <c r="C34" s="87">
        <f t="shared" ref="C34:N34" si="13">SUM(C30:C33)</f>
        <v>80.141000000000005</v>
      </c>
      <c r="D34" s="87">
        <f t="shared" si="13"/>
        <v>64.582999999999998</v>
      </c>
      <c r="E34" s="87">
        <f t="shared" si="13"/>
        <v>68.545000000000002</v>
      </c>
      <c r="F34" s="87">
        <f t="shared" si="13"/>
        <v>72.39</v>
      </c>
      <c r="G34" s="87">
        <f t="shared" si="13"/>
        <v>69.237999999999985</v>
      </c>
      <c r="H34" s="87">
        <f t="shared" si="13"/>
        <v>64.088999999999999</v>
      </c>
      <c r="I34" s="171">
        <f t="shared" si="13"/>
        <v>76.799000000000007</v>
      </c>
      <c r="J34" s="87">
        <f t="shared" si="13"/>
        <v>62.105999999999995</v>
      </c>
      <c r="K34" s="87">
        <f t="shared" si="13"/>
        <v>62.402999999999999</v>
      </c>
      <c r="L34" s="87">
        <f t="shared" si="13"/>
        <v>76.234999999999999</v>
      </c>
      <c r="M34" s="87">
        <f t="shared" si="13"/>
        <v>61.771000000000001</v>
      </c>
      <c r="N34" s="87">
        <f t="shared" si="13"/>
        <v>69.707999999999998</v>
      </c>
      <c r="O34" s="87">
        <f>SUM(O30:O33)</f>
        <v>213.26900000000001</v>
      </c>
      <c r="P34" s="87">
        <f>SUM(P30:P33)</f>
        <v>205.71700000000001</v>
      </c>
      <c r="Q34" s="87">
        <f>SUM(Q30:Q33)</f>
        <v>201.30800000000002</v>
      </c>
      <c r="R34" s="87">
        <f>SUM(R30:R33)</f>
        <v>207.714</v>
      </c>
      <c r="S34" s="88">
        <f>SUM(S30:S33)</f>
        <v>828.00799999999992</v>
      </c>
      <c r="T34" s="9"/>
      <c r="V34" s="210"/>
      <c r="W34" s="210"/>
    </row>
    <row r="35" spans="1:27" ht="17.25" customHeight="1" x14ac:dyDescent="0.25">
      <c r="A35" s="183"/>
      <c r="B35" s="82" t="s">
        <v>70</v>
      </c>
      <c r="C35" s="83">
        <v>2.9009999999999998</v>
      </c>
      <c r="D35" s="83">
        <v>4.0380000000000003</v>
      </c>
      <c r="E35" s="83">
        <v>5.1449999999999996</v>
      </c>
      <c r="F35" s="83">
        <v>1.821</v>
      </c>
      <c r="G35" s="83">
        <v>0.47199999999999998</v>
      </c>
      <c r="H35" s="83">
        <v>0.29799999999999999</v>
      </c>
      <c r="I35" s="172">
        <v>0.23799999999999999</v>
      </c>
      <c r="J35" s="83">
        <v>0.24</v>
      </c>
      <c r="K35" s="83">
        <v>0.23400000000000001</v>
      </c>
      <c r="L35" s="83">
        <v>0.377</v>
      </c>
      <c r="M35" s="83">
        <v>0.55400000000000005</v>
      </c>
      <c r="N35" s="83">
        <v>1.506</v>
      </c>
      <c r="O35" s="36">
        <f>SUM(C35:E35)</f>
        <v>12.084</v>
      </c>
      <c r="P35" s="84">
        <f>SUM(F35:H35)</f>
        <v>2.5910000000000002</v>
      </c>
      <c r="Q35" s="84">
        <f>SUM(I35:K35)</f>
        <v>0.71199999999999997</v>
      </c>
      <c r="R35" s="85">
        <f>SUM(L35:N35)</f>
        <v>2.4370000000000003</v>
      </c>
      <c r="S35" s="40">
        <f>SUM(O35:R35)</f>
        <v>17.824000000000002</v>
      </c>
      <c r="T35" s="7"/>
      <c r="V35" s="210"/>
      <c r="W35" s="210"/>
    </row>
    <row r="36" spans="1:27" ht="17.25" customHeight="1" x14ac:dyDescent="0.25">
      <c r="A36" s="183"/>
      <c r="B36" s="34" t="s">
        <v>71</v>
      </c>
      <c r="C36" s="33">
        <v>3.2509999999999999</v>
      </c>
      <c r="D36" s="33">
        <v>3.415</v>
      </c>
      <c r="E36" s="33">
        <v>3.9470000000000001</v>
      </c>
      <c r="F36" s="33">
        <v>2.5089999999999999</v>
      </c>
      <c r="G36" s="33">
        <v>2.3980000000000001</v>
      </c>
      <c r="H36" s="33">
        <v>2.1379999999999999</v>
      </c>
      <c r="I36" s="158">
        <v>2.3149999999999999</v>
      </c>
      <c r="J36" s="33">
        <v>1.823</v>
      </c>
      <c r="K36" s="33">
        <v>1.7290000000000001</v>
      </c>
      <c r="L36" s="33">
        <v>2.1629999999999998</v>
      </c>
      <c r="M36" s="33">
        <v>2.0830000000000002</v>
      </c>
      <c r="N36" s="33">
        <v>2.3359999999999999</v>
      </c>
      <c r="O36" s="36">
        <f t="shared" ref="O36:O38" si="14">SUM(C36:E36)</f>
        <v>10.613</v>
      </c>
      <c r="P36" s="37">
        <f>SUM(F36:H36)</f>
        <v>7.0449999999999999</v>
      </c>
      <c r="Q36" s="37">
        <f>SUM(I36:K36)</f>
        <v>5.867</v>
      </c>
      <c r="R36" s="38">
        <f>SUM(L36:N36)</f>
        <v>6.5820000000000007</v>
      </c>
      <c r="S36" s="39">
        <f>SUM(O36:R36)</f>
        <v>30.107000000000003</v>
      </c>
      <c r="T36" s="7"/>
      <c r="V36" s="210"/>
      <c r="W36" s="210"/>
    </row>
    <row r="37" spans="1:27" ht="17.25" customHeight="1" x14ac:dyDescent="0.25">
      <c r="A37" s="183"/>
      <c r="B37" s="34" t="s">
        <v>56</v>
      </c>
      <c r="C37" s="33">
        <v>1.5349999999999999</v>
      </c>
      <c r="D37" s="33">
        <v>2.1</v>
      </c>
      <c r="E37" s="33">
        <v>2.028</v>
      </c>
      <c r="F37" s="33">
        <v>1.27</v>
      </c>
      <c r="G37" s="33">
        <v>0.80700000000000005</v>
      </c>
      <c r="H37" s="33">
        <v>0.69499999999999995</v>
      </c>
      <c r="I37" s="158">
        <v>0.82099999999999995</v>
      </c>
      <c r="J37" s="33">
        <v>0.61</v>
      </c>
      <c r="K37" s="33">
        <v>0.65200000000000002</v>
      </c>
      <c r="L37" s="33">
        <v>0.68</v>
      </c>
      <c r="M37" s="33">
        <v>0.88</v>
      </c>
      <c r="N37" s="33">
        <v>0.82</v>
      </c>
      <c r="O37" s="36">
        <f t="shared" si="14"/>
        <v>5.6630000000000003</v>
      </c>
      <c r="P37" s="37">
        <f>SUM(F37:H37)</f>
        <v>2.7719999999999998</v>
      </c>
      <c r="Q37" s="37">
        <f>SUM(I37:K37)</f>
        <v>2.0830000000000002</v>
      </c>
      <c r="R37" s="38">
        <f>SUM(L37:N37)</f>
        <v>2.38</v>
      </c>
      <c r="S37" s="39">
        <f>SUM(O37:R37)</f>
        <v>12.898</v>
      </c>
      <c r="T37" s="7"/>
      <c r="V37" s="210"/>
      <c r="W37" s="210"/>
    </row>
    <row r="38" spans="1:27" ht="17.25" customHeight="1" thickBot="1" x14ac:dyDescent="0.3">
      <c r="A38" s="183"/>
      <c r="B38" s="77" t="s">
        <v>57</v>
      </c>
      <c r="C38" s="78">
        <v>6.0000000000000001E-3</v>
      </c>
      <c r="D38" s="78">
        <v>6.0000000000000001E-3</v>
      </c>
      <c r="E38" s="78">
        <v>6.0000000000000001E-3</v>
      </c>
      <c r="F38" s="78">
        <v>0.01</v>
      </c>
      <c r="G38" s="78">
        <v>5.0000000000000001E-3</v>
      </c>
      <c r="H38" s="78">
        <v>6.0000000000000001E-3</v>
      </c>
      <c r="I38" s="159">
        <v>1E-3</v>
      </c>
      <c r="J38" s="78">
        <v>6.0000000000000001E-3</v>
      </c>
      <c r="K38" s="78">
        <v>3.0000000000000001E-3</v>
      </c>
      <c r="L38" s="78">
        <v>6.0000000000000001E-3</v>
      </c>
      <c r="M38" s="78">
        <v>1E-3</v>
      </c>
      <c r="N38" s="78">
        <v>1E-3</v>
      </c>
      <c r="O38" s="36">
        <f t="shared" si="14"/>
        <v>1.8000000000000002E-2</v>
      </c>
      <c r="P38" s="79">
        <f>SUM(F38:H38)</f>
        <v>2.0999999999999998E-2</v>
      </c>
      <c r="Q38" s="79">
        <f>SUM(I38:K38)</f>
        <v>0.01</v>
      </c>
      <c r="R38" s="80">
        <f>SUM(L38:N38)</f>
        <v>8.0000000000000002E-3</v>
      </c>
      <c r="S38" s="81">
        <f>SUM(O38:R38)</f>
        <v>5.7000000000000002E-2</v>
      </c>
      <c r="T38" s="7"/>
      <c r="V38" s="210"/>
      <c r="W38" s="210"/>
      <c r="Z38" s="210"/>
    </row>
    <row r="39" spans="1:27" s="10" customFormat="1" ht="17.25" customHeight="1" thickBot="1" x14ac:dyDescent="0.3">
      <c r="A39" s="9"/>
      <c r="B39" s="86" t="s">
        <v>72</v>
      </c>
      <c r="C39" s="87">
        <f t="shared" ref="C39:N39" si="15">SUM(C35:C38)</f>
        <v>7.6929999999999996</v>
      </c>
      <c r="D39" s="87">
        <f t="shared" si="15"/>
        <v>9.5590000000000011</v>
      </c>
      <c r="E39" s="87">
        <f t="shared" si="15"/>
        <v>11.125999999999999</v>
      </c>
      <c r="F39" s="87">
        <f t="shared" si="15"/>
        <v>5.6099999999999994</v>
      </c>
      <c r="G39" s="87">
        <f t="shared" si="15"/>
        <v>3.6819999999999999</v>
      </c>
      <c r="H39" s="87">
        <f t="shared" si="15"/>
        <v>3.1369999999999996</v>
      </c>
      <c r="I39" s="171">
        <f t="shared" si="15"/>
        <v>3.3749999999999996</v>
      </c>
      <c r="J39" s="87">
        <f t="shared" si="15"/>
        <v>2.6789999999999994</v>
      </c>
      <c r="K39" s="87">
        <f t="shared" si="15"/>
        <v>2.6180000000000003</v>
      </c>
      <c r="L39" s="87">
        <f t="shared" si="15"/>
        <v>3.226</v>
      </c>
      <c r="M39" s="87">
        <f t="shared" si="15"/>
        <v>3.5180000000000002</v>
      </c>
      <c r="N39" s="87">
        <f t="shared" si="15"/>
        <v>4.6630000000000003</v>
      </c>
      <c r="O39" s="87">
        <f>SUM(O35:O38)</f>
        <v>28.378</v>
      </c>
      <c r="P39" s="87">
        <f>SUM(P35:P38)</f>
        <v>12.429</v>
      </c>
      <c r="Q39" s="87">
        <f>SUM(Q35:Q38)</f>
        <v>8.6719999999999988</v>
      </c>
      <c r="R39" s="87">
        <f>SUM(R35:R38)</f>
        <v>11.407</v>
      </c>
      <c r="S39" s="89">
        <f>SUM(S35:S38)</f>
        <v>60.88600000000001</v>
      </c>
      <c r="T39" s="9"/>
      <c r="V39" s="210"/>
    </row>
    <row r="40" spans="1:27" ht="17.25" customHeight="1" x14ac:dyDescent="0.25">
      <c r="A40" s="183"/>
      <c r="B40" s="82" t="s">
        <v>73</v>
      </c>
      <c r="C40" s="83">
        <f>1.985+3.315</f>
        <v>5.3</v>
      </c>
      <c r="D40" s="83">
        <f>1.43+2.705</f>
        <v>4.1349999999999998</v>
      </c>
      <c r="E40" s="83">
        <f>1.597+2.856</f>
        <v>4.4529999999999994</v>
      </c>
      <c r="F40" s="83">
        <f>1.333+2.23</f>
        <v>3.5629999999999997</v>
      </c>
      <c r="G40" s="83">
        <f>0.98+1.801</f>
        <v>2.7809999999999997</v>
      </c>
      <c r="H40" s="83">
        <f>1.025+2.863</f>
        <v>3.8879999999999999</v>
      </c>
      <c r="I40" s="172">
        <f>1.131+1.829</f>
        <v>2.96</v>
      </c>
      <c r="J40" s="83">
        <f>0.992+1.787</f>
        <v>2.7789999999999999</v>
      </c>
      <c r="K40" s="83">
        <f>1.207+2.017</f>
        <v>3.2240000000000002</v>
      </c>
      <c r="L40" s="83">
        <f>1.478+2.918</f>
        <v>4.3959999999999999</v>
      </c>
      <c r="M40" s="157">
        <f>1.426+2.322</f>
        <v>3.7480000000000002</v>
      </c>
      <c r="N40" s="83">
        <f>1.522+2.683</f>
        <v>4.2050000000000001</v>
      </c>
      <c r="O40" s="36">
        <f>SUM(C40:E40)</f>
        <v>13.887999999999998</v>
      </c>
      <c r="P40" s="84">
        <f>SUM(F40:H40)</f>
        <v>10.231999999999999</v>
      </c>
      <c r="Q40" s="84">
        <f>SUM(I40:K40)</f>
        <v>8.963000000000001</v>
      </c>
      <c r="R40" s="85">
        <f>SUM(L40:N40)</f>
        <v>12.349</v>
      </c>
      <c r="S40" s="40">
        <f>SUM(O40:R40)</f>
        <v>45.432000000000002</v>
      </c>
      <c r="T40" s="7"/>
      <c r="V40" s="210"/>
      <c r="W40" s="210"/>
    </row>
    <row r="41" spans="1:27" ht="17.25" customHeight="1" x14ac:dyDescent="0.25">
      <c r="A41" s="183"/>
      <c r="B41" s="34" t="s">
        <v>74</v>
      </c>
      <c r="C41" s="33">
        <f>0.208+0.031</f>
        <v>0.23899999999999999</v>
      </c>
      <c r="D41" s="33">
        <f>0.174+0.052</f>
        <v>0.22599999999999998</v>
      </c>
      <c r="E41" s="33">
        <f>0.2+0.015</f>
        <v>0.21500000000000002</v>
      </c>
      <c r="F41" s="33">
        <f>0.169+0.015</f>
        <v>0.184</v>
      </c>
      <c r="G41" s="33">
        <f>0.138+0.005</f>
        <v>0.14300000000000002</v>
      </c>
      <c r="H41" s="33">
        <f>0.109+0.007</f>
        <v>0.11600000000000001</v>
      </c>
      <c r="I41" s="158">
        <f>0.166+0.028</f>
        <v>0.19400000000000001</v>
      </c>
      <c r="J41" s="33">
        <f>0.173+0.004</f>
        <v>0.17699999999999999</v>
      </c>
      <c r="K41" s="33">
        <f>0.199+0.017</f>
        <v>0.21600000000000003</v>
      </c>
      <c r="L41" s="33">
        <f>0.215+0.017</f>
        <v>0.23199999999999998</v>
      </c>
      <c r="M41" s="158">
        <f>0.185+0.015</f>
        <v>0.2</v>
      </c>
      <c r="N41" s="33">
        <f>0.245+0.024</f>
        <v>0.26900000000000002</v>
      </c>
      <c r="O41" s="36">
        <f>SUM(C41:E41)</f>
        <v>0.67999999999999994</v>
      </c>
      <c r="P41" s="37">
        <f>SUM(F41:H41)</f>
        <v>0.443</v>
      </c>
      <c r="Q41" s="37">
        <f>SUM(I41:K41)</f>
        <v>0.58699999999999997</v>
      </c>
      <c r="R41" s="38">
        <f>SUM(L41:N41)</f>
        <v>0.70100000000000007</v>
      </c>
      <c r="S41" s="39">
        <f>SUM(O41:R41)</f>
        <v>2.411</v>
      </c>
      <c r="T41" s="7"/>
      <c r="V41" s="210"/>
      <c r="W41" s="210"/>
      <c r="Z41" s="210"/>
      <c r="AA41" s="210"/>
    </row>
    <row r="42" spans="1:27" ht="17.25" customHeight="1" thickBot="1" x14ac:dyDescent="0.3">
      <c r="A42" s="183"/>
      <c r="B42" s="77" t="s">
        <v>75</v>
      </c>
      <c r="C42" s="78">
        <f>1.296+0.074+0.315+2.332</f>
        <v>4.0169999999999995</v>
      </c>
      <c r="D42" s="78">
        <f>1.195+0.078+0.292+2.037</f>
        <v>3.6020000000000003</v>
      </c>
      <c r="E42" s="78">
        <f>1.66+0.014+0.212+2.141</f>
        <v>4.0270000000000001</v>
      </c>
      <c r="F42" s="78">
        <f>0.842+0.069+0.155+1.437</f>
        <v>2.5030000000000001</v>
      </c>
      <c r="G42" s="78">
        <f>0.711+0.055+0.113+1.061</f>
        <v>1.94</v>
      </c>
      <c r="H42" s="78">
        <f>0.846+0.032+0.141+1.442</f>
        <v>2.4609999999999999</v>
      </c>
      <c r="I42" s="159">
        <f>1.09+0.008+0.116+1.628</f>
        <v>2.8420000000000001</v>
      </c>
      <c r="J42" s="78">
        <f>0.975+0.01+0.092+1.681</f>
        <v>2.758</v>
      </c>
      <c r="K42" s="78">
        <f>0.874+0.015+0.167+1.832</f>
        <v>2.8879999999999999</v>
      </c>
      <c r="L42" s="78">
        <f>1.359+0.004+0.208+1.777</f>
        <v>3.3479999999999999</v>
      </c>
      <c r="M42" s="159">
        <f>1.171+0.007+0.192+2.324</f>
        <v>3.694</v>
      </c>
      <c r="N42" s="78">
        <f>1.472+0.005+0.14+1.849</f>
        <v>3.4660000000000002</v>
      </c>
      <c r="O42" s="36">
        <f>SUM(C42:E42)</f>
        <v>11.646000000000001</v>
      </c>
      <c r="P42" s="79">
        <f>SUM(F42:H42)</f>
        <v>6.9039999999999999</v>
      </c>
      <c r="Q42" s="79">
        <f>SUM(I42:K42)</f>
        <v>8.4879999999999995</v>
      </c>
      <c r="R42" s="80">
        <f>SUM(L42:N42)</f>
        <v>10.507999999999999</v>
      </c>
      <c r="S42" s="81">
        <f>SUM(O42:R42)</f>
        <v>37.545999999999999</v>
      </c>
      <c r="T42" s="7"/>
      <c r="V42" s="210"/>
      <c r="W42" s="210"/>
    </row>
    <row r="43" spans="1:27" s="10" customFormat="1" ht="17.25" customHeight="1" thickBot="1" x14ac:dyDescent="0.3">
      <c r="A43" s="9"/>
      <c r="B43" s="86" t="s">
        <v>76</v>
      </c>
      <c r="C43" s="87">
        <f t="shared" ref="C43:N43" si="16">SUM(C40:C42)</f>
        <v>9.5559999999999992</v>
      </c>
      <c r="D43" s="87">
        <f t="shared" si="16"/>
        <v>7.9630000000000001</v>
      </c>
      <c r="E43" s="87">
        <f t="shared" si="16"/>
        <v>8.6950000000000003</v>
      </c>
      <c r="F43" s="87">
        <f t="shared" si="16"/>
        <v>6.25</v>
      </c>
      <c r="G43" s="87">
        <f t="shared" si="16"/>
        <v>4.863999999999999</v>
      </c>
      <c r="H43" s="87">
        <f t="shared" si="16"/>
        <v>6.4649999999999999</v>
      </c>
      <c r="I43" s="87">
        <f t="shared" si="16"/>
        <v>5.9960000000000004</v>
      </c>
      <c r="J43" s="87">
        <f t="shared" si="16"/>
        <v>5.7140000000000004</v>
      </c>
      <c r="K43" s="87">
        <f t="shared" si="16"/>
        <v>6.3280000000000003</v>
      </c>
      <c r="L43" s="87">
        <f t="shared" si="16"/>
        <v>7.976</v>
      </c>
      <c r="M43" s="87">
        <f t="shared" si="16"/>
        <v>7.6420000000000003</v>
      </c>
      <c r="N43" s="87">
        <f t="shared" si="16"/>
        <v>7.94</v>
      </c>
      <c r="O43" s="87">
        <f>SUM(O40:O42)</f>
        <v>26.213999999999999</v>
      </c>
      <c r="P43" s="87">
        <f>SUM(P40:P42)</f>
        <v>17.579000000000001</v>
      </c>
      <c r="Q43" s="87">
        <f>SUM(Q40:Q42)</f>
        <v>18.038</v>
      </c>
      <c r="R43" s="87">
        <f>SUM(R40:R42)</f>
        <v>23.558</v>
      </c>
      <c r="S43" s="88">
        <f>SUM(S40:S42)</f>
        <v>85.38900000000001</v>
      </c>
      <c r="T43" s="9"/>
      <c r="V43" s="210"/>
      <c r="W43" s="210"/>
    </row>
    <row r="44" spans="1:27" ht="17.25" customHeight="1" thickBot="1" x14ac:dyDescent="0.3">
      <c r="A44" s="183"/>
      <c r="B44" s="86" t="s">
        <v>77</v>
      </c>
      <c r="C44" s="87">
        <f t="shared" ref="C44:N44" si="17">C43+C39+C34+C29+C22</f>
        <v>256.548</v>
      </c>
      <c r="D44" s="87">
        <f t="shared" si="17"/>
        <v>214.87599999999998</v>
      </c>
      <c r="E44" s="87">
        <f t="shared" si="17"/>
        <v>227.529</v>
      </c>
      <c r="F44" s="87">
        <f t="shared" si="17"/>
        <v>215.678</v>
      </c>
      <c r="G44" s="87">
        <f t="shared" si="17"/>
        <v>188.02999999999997</v>
      </c>
      <c r="H44" s="87">
        <f t="shared" si="17"/>
        <v>179.15000000000003</v>
      </c>
      <c r="I44" s="87">
        <f t="shared" si="17"/>
        <v>207.96799999999999</v>
      </c>
      <c r="J44" s="87">
        <f t="shared" si="17"/>
        <v>170.36199999999999</v>
      </c>
      <c r="K44" s="87">
        <f t="shared" si="17"/>
        <v>182.45600000000002</v>
      </c>
      <c r="L44" s="87">
        <f t="shared" si="17"/>
        <v>231.02600000000001</v>
      </c>
      <c r="M44" s="87">
        <f t="shared" si="17"/>
        <v>212.75200000000001</v>
      </c>
      <c r="N44" s="87">
        <f t="shared" si="17"/>
        <v>234.18900000000002</v>
      </c>
      <c r="O44" s="87">
        <f>O43+O39+O34+O29+O22</f>
        <v>698.95299999999997</v>
      </c>
      <c r="P44" s="87">
        <f>P43+P39+P34+P29+P22</f>
        <v>582.85799999999995</v>
      </c>
      <c r="Q44" s="87">
        <f>Q43+Q39+Q34+Q29+Q22</f>
        <v>560.78600000000006</v>
      </c>
      <c r="R44" s="87">
        <f>R43+R39+R34+R29+R22</f>
        <v>677.96699999999998</v>
      </c>
      <c r="S44" s="90">
        <f>SUM(O44:R44)</f>
        <v>2520.5639999999999</v>
      </c>
      <c r="T44" s="7"/>
      <c r="V44" s="210"/>
      <c r="W44" s="210"/>
    </row>
    <row r="45" spans="1:27" x14ac:dyDescent="0.2">
      <c r="A45" s="183"/>
      <c r="B45" s="183"/>
      <c r="C45" s="11"/>
      <c r="D45" s="2"/>
      <c r="E45" s="3"/>
      <c r="F45" s="4"/>
      <c r="G45" s="5"/>
      <c r="H45" s="2"/>
      <c r="I45" s="3"/>
      <c r="J45" s="4"/>
      <c r="K45" s="5"/>
      <c r="L45" s="2"/>
      <c r="M45" s="3"/>
      <c r="N45" s="4"/>
      <c r="O45" s="5"/>
      <c r="P45" s="2"/>
      <c r="Q45" s="3"/>
      <c r="R45" s="4"/>
      <c r="S45" s="6"/>
      <c r="T45" s="7"/>
    </row>
    <row r="46" spans="1:27" x14ac:dyDescent="0.2">
      <c r="B46" s="210"/>
      <c r="C46" s="234"/>
      <c r="W46" s="210"/>
    </row>
    <row r="47" spans="1:27" x14ac:dyDescent="0.2">
      <c r="C47"/>
      <c r="W47" s="210"/>
    </row>
    <row r="48" spans="1:27" x14ac:dyDescent="0.2">
      <c r="W48" s="210"/>
    </row>
    <row r="50" spans="1:15" x14ac:dyDescent="0.2">
      <c r="D50" s="184"/>
      <c r="E50" s="184"/>
      <c r="F50" s="184"/>
      <c r="G50" s="184"/>
      <c r="H50" s="184"/>
      <c r="I50" s="184"/>
      <c r="J50" s="184"/>
      <c r="K50" s="184"/>
      <c r="L50" s="184"/>
      <c r="M50" s="184"/>
      <c r="N50" s="184"/>
    </row>
    <row r="52" spans="1:15" x14ac:dyDescent="0.2">
      <c r="D52" s="184"/>
      <c r="E52" s="184"/>
      <c r="F52" s="184"/>
      <c r="G52" s="184"/>
      <c r="H52" s="184"/>
      <c r="I52" s="184"/>
      <c r="J52" s="184"/>
      <c r="K52" s="184"/>
      <c r="L52" s="184"/>
      <c r="M52" s="184"/>
      <c r="N52" s="184"/>
    </row>
    <row r="54" spans="1:15" x14ac:dyDescent="0.2">
      <c r="A54" s="168"/>
      <c r="B54" s="168" t="s">
        <v>96</v>
      </c>
      <c r="C54" s="165"/>
      <c r="D54" s="165"/>
      <c r="E54" s="166"/>
      <c r="F54" s="166"/>
      <c r="I54" s="240"/>
      <c r="M54" s="240"/>
    </row>
    <row r="55" spans="1:15" x14ac:dyDescent="0.2">
      <c r="A55" s="161"/>
      <c r="B55" s="211" t="s">
        <v>95</v>
      </c>
      <c r="C55" s="165"/>
      <c r="D55" s="167"/>
      <c r="E55" s="166"/>
      <c r="F55" s="166"/>
    </row>
    <row r="56" spans="1:15" ht="13.5" x14ac:dyDescent="0.2">
      <c r="A56" s="162" t="s">
        <v>94</v>
      </c>
    </row>
    <row r="57" spans="1:15" x14ac:dyDescent="0.2">
      <c r="D57" s="184"/>
      <c r="E57" s="184"/>
      <c r="F57" s="184"/>
      <c r="G57" s="184"/>
      <c r="H57" s="184"/>
      <c r="I57" s="184"/>
      <c r="J57" s="184"/>
      <c r="K57" s="184"/>
      <c r="L57" s="184"/>
      <c r="M57" s="184"/>
      <c r="N57" s="184"/>
    </row>
    <row r="58" spans="1:15" x14ac:dyDescent="0.2">
      <c r="D58" s="184"/>
      <c r="E58" s="184"/>
      <c r="F58" s="184"/>
      <c r="G58" s="184"/>
      <c r="H58" s="184"/>
      <c r="I58" s="184"/>
      <c r="J58" s="184"/>
      <c r="K58" s="184"/>
      <c r="L58" s="184"/>
      <c r="M58" s="184"/>
      <c r="N58" s="184"/>
    </row>
    <row r="59" spans="1:15" x14ac:dyDescent="0.2">
      <c r="D59" s="184"/>
      <c r="E59" s="184"/>
      <c r="F59" s="184"/>
      <c r="G59" s="184"/>
      <c r="H59" s="184"/>
      <c r="I59" s="184"/>
      <c r="J59" s="184"/>
      <c r="K59" s="184"/>
      <c r="L59" s="184"/>
      <c r="M59" s="184"/>
      <c r="N59" s="210"/>
    </row>
    <row r="60" spans="1:15" x14ac:dyDescent="0.2">
      <c r="D60" s="184"/>
      <c r="E60" s="184"/>
      <c r="F60" s="184"/>
      <c r="G60" s="184"/>
      <c r="H60" s="184"/>
      <c r="I60" s="184"/>
      <c r="J60" s="184"/>
      <c r="K60" s="184"/>
      <c r="L60" s="184"/>
      <c r="M60" s="184"/>
      <c r="N60" s="184"/>
    </row>
    <row r="61" spans="1:15" x14ac:dyDescent="0.2">
      <c r="D61" s="184"/>
      <c r="E61" s="184"/>
      <c r="F61" s="184"/>
      <c r="G61" s="184"/>
      <c r="H61" s="210"/>
      <c r="I61" s="184"/>
      <c r="J61" s="184"/>
      <c r="K61" s="184"/>
      <c r="L61" s="184"/>
      <c r="M61" s="210"/>
      <c r="N61" s="210"/>
    </row>
    <row r="62" spans="1:15" x14ac:dyDescent="0.2">
      <c r="D62" s="184"/>
      <c r="E62" s="184"/>
      <c r="F62" s="210"/>
      <c r="G62" s="210"/>
      <c r="H62" s="210"/>
      <c r="I62" s="184"/>
      <c r="J62" s="184"/>
      <c r="K62" s="210"/>
      <c r="L62" s="184"/>
      <c r="M62" s="210"/>
      <c r="N62" s="184"/>
      <c r="O62" s="238"/>
    </row>
    <row r="63" spans="1:15" x14ac:dyDescent="0.2">
      <c r="D63" s="184"/>
      <c r="E63" s="184"/>
      <c r="F63" s="184"/>
      <c r="G63" s="184"/>
      <c r="H63" s="184"/>
      <c r="I63" s="184"/>
      <c r="J63" s="184"/>
      <c r="K63" s="210"/>
      <c r="L63" s="184"/>
      <c r="M63" s="184"/>
      <c r="N63" s="184"/>
    </row>
    <row r="64" spans="1:15" x14ac:dyDescent="0.2">
      <c r="D64" s="235"/>
      <c r="M64" s="240"/>
    </row>
    <row r="66" spans="4:4" x14ac:dyDescent="0.2">
      <c r="D66" s="235"/>
    </row>
  </sheetData>
  <pageMargins left="0.70866141732283472" right="0.70866141732283472" top="0.74803149606299213" bottom="0.74803149606299213" header="0.31496062992125984" footer="0.31496062992125984"/>
  <pageSetup paperSize="9"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U44"/>
  <sheetViews>
    <sheetView showGridLines="0" topLeftCell="B7" zoomScale="90" zoomScaleNormal="90" workbookViewId="0">
      <selection activeCell="N19" sqref="N19"/>
    </sheetView>
  </sheetViews>
  <sheetFormatPr defaultColWidth="9.140625" defaultRowHeight="12.75" x14ac:dyDescent="0.2"/>
  <cols>
    <col min="1" max="1" width="2.85546875" style="184" customWidth="1"/>
    <col min="2" max="2" width="41.5703125" style="184" customWidth="1"/>
    <col min="3" max="3" width="8.85546875" style="184" customWidth="1"/>
    <col min="4" max="4" width="8.85546875" style="12" customWidth="1"/>
    <col min="5" max="5" width="8.85546875" style="13" customWidth="1"/>
    <col min="6" max="6" width="8.85546875" style="14" customWidth="1"/>
    <col min="7" max="7" width="8.85546875" style="15" customWidth="1"/>
    <col min="8" max="8" width="8.85546875" style="12" customWidth="1"/>
    <col min="9" max="9" width="8.85546875" style="13" customWidth="1"/>
    <col min="10" max="10" width="8.85546875" style="14" customWidth="1"/>
    <col min="11" max="11" width="8.85546875" style="15" customWidth="1"/>
    <col min="12" max="12" width="8.85546875" style="12" customWidth="1"/>
    <col min="13" max="13" width="8.85546875" style="13" customWidth="1"/>
    <col min="14" max="14" width="8.85546875" style="14" customWidth="1"/>
    <col min="15" max="15" width="8.85546875" style="15" customWidth="1"/>
    <col min="16" max="16" width="8.85546875" style="12" customWidth="1"/>
    <col min="17" max="17" width="8.85546875" style="13" customWidth="1"/>
    <col min="18" max="18" width="8.85546875" style="14" customWidth="1"/>
    <col min="19" max="19" width="9.42578125" style="16" customWidth="1"/>
    <col min="20" max="20" width="2.85546875" style="184" customWidth="1"/>
    <col min="21" max="16384" width="9.140625" style="184"/>
  </cols>
  <sheetData>
    <row r="4" spans="1:21" x14ac:dyDescent="0.2">
      <c r="T4" s="185"/>
      <c r="U4" s="185"/>
    </row>
    <row r="5" spans="1:21" x14ac:dyDescent="0.2">
      <c r="T5" s="185"/>
      <c r="U5" s="185"/>
    </row>
    <row r="6" spans="1:21" x14ac:dyDescent="0.2">
      <c r="T6" s="185"/>
      <c r="U6" s="185"/>
    </row>
    <row r="7" spans="1:21" x14ac:dyDescent="0.2">
      <c r="O7" s="15" t="s">
        <v>97</v>
      </c>
      <c r="T7" s="185"/>
      <c r="U7" s="185"/>
    </row>
    <row r="8" spans="1:21" x14ac:dyDescent="0.2">
      <c r="O8" s="15" t="s">
        <v>97</v>
      </c>
    </row>
    <row r="9" spans="1:21" x14ac:dyDescent="0.2">
      <c r="A9" s="183"/>
      <c r="B9" s="183"/>
      <c r="C9" s="183"/>
      <c r="D9" s="2"/>
      <c r="E9" s="3"/>
      <c r="F9" s="4"/>
      <c r="G9" s="5"/>
      <c r="H9" s="2"/>
      <c r="I9" s="3"/>
      <c r="J9" s="4"/>
      <c r="K9" s="5"/>
      <c r="L9" s="2"/>
      <c r="M9" s="3"/>
      <c r="N9" s="4"/>
      <c r="O9" s="5"/>
      <c r="P9" s="2"/>
      <c r="Q9" s="3"/>
      <c r="R9" s="4"/>
      <c r="S9" s="6"/>
      <c r="T9" s="7"/>
    </row>
    <row r="10" spans="1:21" ht="15.75" x14ac:dyDescent="0.25">
      <c r="A10" s="183"/>
      <c r="B10" s="74" t="s">
        <v>78</v>
      </c>
      <c r="C10" s="169" t="s">
        <v>98</v>
      </c>
      <c r="D10" s="67"/>
      <c r="E10" s="68"/>
      <c r="F10" s="69"/>
      <c r="G10" s="70"/>
      <c r="H10" s="71"/>
      <c r="I10" s="72"/>
      <c r="J10" s="69"/>
      <c r="K10" s="70"/>
      <c r="L10" s="71"/>
      <c r="M10" s="72"/>
      <c r="N10" s="69"/>
      <c r="O10" s="100"/>
      <c r="P10" s="101"/>
      <c r="Q10" s="102"/>
      <c r="R10" s="103"/>
      <c r="S10" s="73"/>
      <c r="T10" s="7"/>
    </row>
    <row r="11" spans="1:21" ht="15.75" x14ac:dyDescent="0.25">
      <c r="A11" s="183"/>
      <c r="B11" s="75" t="s">
        <v>79</v>
      </c>
      <c r="C11" s="186"/>
      <c r="D11" s="187"/>
      <c r="E11" s="188"/>
      <c r="F11" s="189"/>
      <c r="G11" s="186"/>
      <c r="H11" s="187"/>
      <c r="I11" s="188"/>
      <c r="J11" s="189"/>
      <c r="K11" s="186"/>
      <c r="L11" s="187"/>
      <c r="M11" s="188"/>
      <c r="N11" s="189"/>
      <c r="O11" s="190"/>
      <c r="P11" s="187"/>
      <c r="Q11" s="188"/>
      <c r="R11" s="191"/>
      <c r="S11" s="192"/>
      <c r="T11" s="7"/>
    </row>
    <row r="12" spans="1:21" ht="15.75" x14ac:dyDescent="0.25">
      <c r="A12" s="183"/>
      <c r="B12" s="75" t="s">
        <v>80</v>
      </c>
      <c r="C12" s="193" t="s">
        <v>0</v>
      </c>
      <c r="D12" s="193" t="s">
        <v>1</v>
      </c>
      <c r="E12" s="193" t="s">
        <v>2</v>
      </c>
      <c r="F12" s="193" t="s">
        <v>3</v>
      </c>
      <c r="G12" s="193" t="s">
        <v>4</v>
      </c>
      <c r="H12" s="193" t="s">
        <v>5</v>
      </c>
      <c r="I12" s="193" t="s">
        <v>6</v>
      </c>
      <c r="J12" s="193" t="s">
        <v>7</v>
      </c>
      <c r="K12" s="193" t="s">
        <v>8</v>
      </c>
      <c r="L12" s="193" t="s">
        <v>9</v>
      </c>
      <c r="M12" s="193" t="s">
        <v>10</v>
      </c>
      <c r="N12" s="193" t="s">
        <v>11</v>
      </c>
      <c r="O12" s="194" t="s">
        <v>12</v>
      </c>
      <c r="P12" s="195" t="s">
        <v>13</v>
      </c>
      <c r="Q12" s="195" t="s">
        <v>14</v>
      </c>
      <c r="R12" s="196" t="s">
        <v>15</v>
      </c>
      <c r="S12" s="197" t="s">
        <v>16</v>
      </c>
      <c r="T12" s="7"/>
    </row>
    <row r="13" spans="1:21" ht="15.75" x14ac:dyDescent="0.25">
      <c r="A13" s="183"/>
      <c r="B13" s="76" t="s">
        <v>81</v>
      </c>
      <c r="C13" s="198"/>
      <c r="D13" s="198"/>
      <c r="E13" s="198"/>
      <c r="F13" s="198"/>
      <c r="G13" s="198"/>
      <c r="H13" s="198"/>
      <c r="I13" s="198"/>
      <c r="J13" s="198"/>
      <c r="K13" s="198"/>
      <c r="L13" s="198"/>
      <c r="M13" s="198"/>
      <c r="N13" s="198"/>
      <c r="O13" s="199"/>
      <c r="P13" s="200"/>
      <c r="Q13" s="200"/>
      <c r="R13" s="201"/>
      <c r="S13" s="197"/>
      <c r="T13" s="7"/>
    </row>
    <row r="14" spans="1:21" ht="22.5" customHeight="1" x14ac:dyDescent="0.25">
      <c r="A14" s="183"/>
      <c r="B14" s="34" t="s">
        <v>82</v>
      </c>
      <c r="C14" s="33">
        <v>4.9740000000000002</v>
      </c>
      <c r="D14" s="33">
        <v>4.7960000000000003</v>
      </c>
      <c r="E14" s="33">
        <v>5.5259999999999998</v>
      </c>
      <c r="F14" s="33">
        <v>4.0170000000000003</v>
      </c>
      <c r="G14" s="33">
        <v>3.8690000000000002</v>
      </c>
      <c r="H14" s="33">
        <v>3.21</v>
      </c>
      <c r="I14" s="33">
        <v>3.2370000000000001</v>
      </c>
      <c r="J14" s="33">
        <v>3.5609999999999999</v>
      </c>
      <c r="K14" s="33">
        <v>3.6890000000000001</v>
      </c>
      <c r="L14" s="33">
        <v>5.1449999999999996</v>
      </c>
      <c r="M14" s="33">
        <v>4.8565399999999999</v>
      </c>
      <c r="N14" s="33">
        <v>5.617</v>
      </c>
      <c r="O14" s="36">
        <f>SUM(C14:E14)</f>
        <v>15.295999999999999</v>
      </c>
      <c r="P14" s="37">
        <f>SUM(F14:H14)</f>
        <v>11.096</v>
      </c>
      <c r="Q14" s="37">
        <f>SUM(I14:K14)</f>
        <v>10.487</v>
      </c>
      <c r="R14" s="38">
        <f>SUM(L14:N14)</f>
        <v>15.618539999999999</v>
      </c>
      <c r="S14" s="39">
        <f>SUM(O14:R14)</f>
        <v>52.497540000000001</v>
      </c>
      <c r="T14" s="7"/>
    </row>
    <row r="15" spans="1:21" ht="22.5" customHeight="1" x14ac:dyDescent="0.25">
      <c r="A15" s="183"/>
      <c r="B15" s="34" t="s">
        <v>83</v>
      </c>
      <c r="C15" s="33">
        <v>5.3730000000000002</v>
      </c>
      <c r="D15" s="33">
        <v>5.125</v>
      </c>
      <c r="E15" s="33">
        <v>5.2069999999999999</v>
      </c>
      <c r="F15" s="33">
        <v>4.9340000000000002</v>
      </c>
      <c r="G15" s="33">
        <v>4.633</v>
      </c>
      <c r="H15" s="33">
        <v>4.6180000000000003</v>
      </c>
      <c r="I15" s="33">
        <v>4.492</v>
      </c>
      <c r="J15" s="33">
        <v>4.7389999999999999</v>
      </c>
      <c r="K15" s="33">
        <v>5.0039999999999996</v>
      </c>
      <c r="L15" s="33">
        <v>6.0049999999999999</v>
      </c>
      <c r="M15" s="33">
        <v>6.2696960000000006</v>
      </c>
      <c r="N15" s="33">
        <v>6.0949999999999998</v>
      </c>
      <c r="O15" s="36">
        <f>SUM(C15:E15)</f>
        <v>15.705000000000002</v>
      </c>
      <c r="P15" s="37">
        <f>SUM(F15:H15)</f>
        <v>14.185</v>
      </c>
      <c r="Q15" s="37">
        <f>SUM(I15:K15)</f>
        <v>14.234999999999999</v>
      </c>
      <c r="R15" s="38">
        <f>SUM(L15:N15)</f>
        <v>18.369696000000001</v>
      </c>
      <c r="S15" s="39">
        <f>SUM(O15:R15)</f>
        <v>62.494696000000005</v>
      </c>
      <c r="T15" s="7"/>
    </row>
    <row r="16" spans="1:21" ht="22.5" customHeight="1" x14ac:dyDescent="0.25">
      <c r="A16" s="183"/>
      <c r="B16" s="34" t="s">
        <v>84</v>
      </c>
      <c r="C16" s="33">
        <v>1.38</v>
      </c>
      <c r="D16" s="33">
        <v>1.31</v>
      </c>
      <c r="E16" s="33">
        <v>1.8049999999999999</v>
      </c>
      <c r="F16" s="33">
        <v>1.4850000000000001</v>
      </c>
      <c r="G16" s="33">
        <v>1.2689999999999999</v>
      </c>
      <c r="H16" s="33">
        <v>1.6040000000000001</v>
      </c>
      <c r="I16" s="33">
        <v>1.2689999999999999</v>
      </c>
      <c r="J16" s="33">
        <v>1.4730000000000001</v>
      </c>
      <c r="K16" s="33">
        <v>1.4770000000000001</v>
      </c>
      <c r="L16" s="33">
        <v>1.4330000000000001</v>
      </c>
      <c r="M16" s="33">
        <v>0.66090000000000004</v>
      </c>
      <c r="N16" s="33">
        <v>0.60699999999999998</v>
      </c>
      <c r="O16" s="36">
        <f>SUM(C16:E16)</f>
        <v>4.4950000000000001</v>
      </c>
      <c r="P16" s="37">
        <f>SUM(F16:H16)</f>
        <v>4.3580000000000005</v>
      </c>
      <c r="Q16" s="37">
        <f>SUM(I16:K16)</f>
        <v>4.2190000000000003</v>
      </c>
      <c r="R16" s="38">
        <f>SUM(L16:N16)</f>
        <v>2.7008999999999999</v>
      </c>
      <c r="S16" s="39">
        <f>SUM(O16:R16)</f>
        <v>15.772900000000003</v>
      </c>
      <c r="T16" s="7"/>
    </row>
    <row r="17" spans="1:20" ht="22.5" customHeight="1" x14ac:dyDescent="0.25">
      <c r="A17" s="183"/>
      <c r="B17" s="34" t="s">
        <v>85</v>
      </c>
      <c r="C17" s="33">
        <v>0.70299999999999996</v>
      </c>
      <c r="D17" s="33">
        <v>0.83</v>
      </c>
      <c r="E17" s="33">
        <v>1.2989999999999999</v>
      </c>
      <c r="F17" s="33">
        <v>0.41499999999999998</v>
      </c>
      <c r="G17" s="33">
        <v>0.309</v>
      </c>
      <c r="H17" s="33">
        <v>0.27700000000000002</v>
      </c>
      <c r="I17" s="33">
        <v>0.23699999999999999</v>
      </c>
      <c r="J17" s="33">
        <v>0.26400000000000001</v>
      </c>
      <c r="K17" s="33">
        <v>0.309</v>
      </c>
      <c r="L17" s="33">
        <v>0.61899999999999999</v>
      </c>
      <c r="M17" s="33">
        <v>0.5205510000000001</v>
      </c>
      <c r="N17" s="33">
        <v>0.67600000000000005</v>
      </c>
      <c r="O17" s="36">
        <f>SUM(C17:E17)</f>
        <v>2.8319999999999999</v>
      </c>
      <c r="P17" s="37">
        <f>SUM(F17:H17)</f>
        <v>1.0009999999999999</v>
      </c>
      <c r="Q17" s="37">
        <f>SUM(I17:K17)</f>
        <v>0.81</v>
      </c>
      <c r="R17" s="38">
        <f>SUM(L17:N17)</f>
        <v>1.8155510000000001</v>
      </c>
      <c r="S17" s="39">
        <f>SUM(O17:R17)</f>
        <v>6.4585509999999999</v>
      </c>
      <c r="T17" s="7"/>
    </row>
    <row r="18" spans="1:20" ht="22.5" customHeight="1" x14ac:dyDescent="0.25">
      <c r="A18" s="183"/>
      <c r="B18" s="34" t="s">
        <v>86</v>
      </c>
      <c r="C18" s="33">
        <f>0.666+0.416</f>
        <v>1.0820000000000001</v>
      </c>
      <c r="D18" s="33">
        <f>0.637+0.575</f>
        <v>1.212</v>
      </c>
      <c r="E18" s="33">
        <f>0.861+0.352</f>
        <v>1.2130000000000001</v>
      </c>
      <c r="F18" s="33">
        <f>0.559+0.578</f>
        <v>1.137</v>
      </c>
      <c r="G18" s="33">
        <f>0.462+0.312</f>
        <v>0.77400000000000002</v>
      </c>
      <c r="H18" s="33">
        <f>0.509+0.331</f>
        <v>0.84000000000000008</v>
      </c>
      <c r="I18" s="33">
        <f>0.499+0.399</f>
        <v>0.89800000000000002</v>
      </c>
      <c r="J18" s="33">
        <f>0.601+0.384</f>
        <v>0.98499999999999999</v>
      </c>
      <c r="K18" s="33">
        <f>0.073+0.493</f>
        <v>0.56599999999999995</v>
      </c>
      <c r="L18" s="33">
        <f>0.632+0.597</f>
        <v>1.2290000000000001</v>
      </c>
      <c r="M18" s="33">
        <v>0.97169499999999998</v>
      </c>
      <c r="N18" s="33">
        <f>0.858+0.409</f>
        <v>1.2669999999999999</v>
      </c>
      <c r="O18" s="36">
        <f t="shared" ref="O18" si="0">SUM(C18:E18)</f>
        <v>3.5070000000000001</v>
      </c>
      <c r="P18" s="37">
        <f>SUM(F18:H18)</f>
        <v>2.7510000000000003</v>
      </c>
      <c r="Q18" s="37">
        <f>SUM(I18:K18)</f>
        <v>2.4489999999999998</v>
      </c>
      <c r="R18" s="38">
        <f>SUM(L18:N18)</f>
        <v>3.467695</v>
      </c>
      <c r="S18" s="39">
        <f>SUM(O18:R18)</f>
        <v>12.174695</v>
      </c>
      <c r="T18" s="7"/>
    </row>
    <row r="19" spans="1:20" s="10" customFormat="1" ht="22.5" customHeight="1" x14ac:dyDescent="0.25">
      <c r="A19" s="9"/>
      <c r="B19" s="35" t="s">
        <v>87</v>
      </c>
      <c r="C19" s="202">
        <f t="shared" ref="C19:N19" si="1">SUM(C14:C18)</f>
        <v>13.512</v>
      </c>
      <c r="D19" s="202">
        <f t="shared" si="1"/>
        <v>13.273</v>
      </c>
      <c r="E19" s="202">
        <f t="shared" si="1"/>
        <v>15.05</v>
      </c>
      <c r="F19" s="202">
        <f t="shared" si="1"/>
        <v>11.988</v>
      </c>
      <c r="G19" s="202">
        <f t="shared" si="1"/>
        <v>10.853999999999999</v>
      </c>
      <c r="H19" s="202">
        <f t="shared" si="1"/>
        <v>10.548999999999999</v>
      </c>
      <c r="I19" s="202">
        <f t="shared" si="1"/>
        <v>10.132999999999999</v>
      </c>
      <c r="J19" s="202">
        <f t="shared" si="1"/>
        <v>11.022</v>
      </c>
      <c r="K19" s="202">
        <f t="shared" si="1"/>
        <v>11.045</v>
      </c>
      <c r="L19" s="202">
        <f t="shared" si="1"/>
        <v>14.430999999999997</v>
      </c>
      <c r="M19" s="202">
        <f t="shared" si="1"/>
        <v>13.279382</v>
      </c>
      <c r="N19" s="202">
        <f t="shared" si="1"/>
        <v>14.261999999999999</v>
      </c>
      <c r="O19" s="202">
        <f>SUM(O14:O18)</f>
        <v>41.835000000000001</v>
      </c>
      <c r="P19" s="202">
        <f>SUM(P14:P18)</f>
        <v>33.390999999999998</v>
      </c>
      <c r="Q19" s="202">
        <f t="shared" ref="Q19:R19" si="2">SUM(Q14:Q18)</f>
        <v>32.200000000000003</v>
      </c>
      <c r="R19" s="202">
        <f t="shared" si="2"/>
        <v>41.972381999999996</v>
      </c>
      <c r="S19" s="204">
        <f>SUM(S14:S18)</f>
        <v>149.39838200000003</v>
      </c>
      <c r="T19" s="9"/>
    </row>
    <row r="20" spans="1:20" x14ac:dyDescent="0.2">
      <c r="A20" s="183"/>
      <c r="B20" s="183"/>
      <c r="C20" s="11"/>
      <c r="D20" s="2"/>
      <c r="E20" s="3"/>
      <c r="F20" s="4"/>
      <c r="G20" s="5"/>
      <c r="H20" s="2"/>
      <c r="I20" s="3"/>
      <c r="J20" s="4"/>
      <c r="K20" s="5"/>
      <c r="L20" s="2"/>
      <c r="M20" s="3"/>
      <c r="N20" s="4"/>
      <c r="O20" s="5"/>
      <c r="P20" s="2"/>
      <c r="Q20" s="3"/>
      <c r="R20" s="4"/>
      <c r="S20" s="6"/>
      <c r="T20" s="7"/>
    </row>
    <row r="21" spans="1:20" x14ac:dyDescent="0.2">
      <c r="A21" s="205"/>
      <c r="B21" s="205"/>
      <c r="C21" s="151"/>
      <c r="D21" s="152"/>
      <c r="E21" s="153"/>
      <c r="F21" s="154"/>
      <c r="G21" s="155"/>
      <c r="H21" s="152"/>
      <c r="I21" s="153"/>
      <c r="J21" s="154"/>
      <c r="K21" s="155"/>
      <c r="L21" s="152"/>
      <c r="M21" s="153"/>
      <c r="N21" s="154"/>
      <c r="O21" s="155"/>
      <c r="P21" s="152"/>
      <c r="Q21" s="153"/>
      <c r="R21" s="154"/>
      <c r="S21" s="145"/>
      <c r="T21" s="156"/>
    </row>
    <row r="22" spans="1:20" x14ac:dyDescent="0.2">
      <c r="A22" s="205"/>
      <c r="B22" s="205"/>
      <c r="C22" s="151"/>
      <c r="D22" s="152"/>
      <c r="E22" s="153"/>
      <c r="F22" s="154"/>
      <c r="G22" s="155"/>
      <c r="H22" s="152"/>
      <c r="I22" s="153"/>
      <c r="J22" s="154"/>
      <c r="K22" s="155"/>
      <c r="L22" s="152"/>
      <c r="M22" s="153"/>
      <c r="N22" s="154"/>
      <c r="O22" s="155"/>
      <c r="P22" s="152"/>
      <c r="Q22" s="153"/>
      <c r="R22" s="154"/>
      <c r="S22" s="145"/>
      <c r="T22" s="156"/>
    </row>
    <row r="23" spans="1:20" x14ac:dyDescent="0.2">
      <c r="A23" s="183"/>
      <c r="B23" s="183"/>
      <c r="C23" s="183"/>
      <c r="D23" s="2"/>
      <c r="E23" s="3"/>
      <c r="F23" s="4"/>
      <c r="G23" s="5"/>
      <c r="H23" s="2"/>
      <c r="I23" s="3"/>
      <c r="J23" s="4"/>
      <c r="K23" s="5"/>
      <c r="L23" s="2"/>
      <c r="M23" s="3"/>
      <c r="N23" s="4"/>
      <c r="O23" s="5"/>
      <c r="P23" s="2"/>
      <c r="Q23" s="3"/>
      <c r="R23" s="4"/>
      <c r="S23" s="6"/>
      <c r="T23" s="7"/>
    </row>
    <row r="24" spans="1:20" ht="15.75" x14ac:dyDescent="0.25">
      <c r="A24" s="183"/>
      <c r="B24" s="74" t="s">
        <v>78</v>
      </c>
      <c r="C24" s="169" t="s">
        <v>93</v>
      </c>
      <c r="D24" s="67"/>
      <c r="E24" s="68"/>
      <c r="F24" s="69"/>
      <c r="G24" s="70"/>
      <c r="H24" s="71"/>
      <c r="I24" s="72"/>
      <c r="J24" s="69"/>
      <c r="K24" s="70"/>
      <c r="L24" s="71"/>
      <c r="M24" s="72"/>
      <c r="N24" s="69"/>
      <c r="O24" s="100"/>
      <c r="P24" s="101"/>
      <c r="Q24" s="102"/>
      <c r="R24" s="103"/>
      <c r="S24" s="73"/>
      <c r="T24" s="7"/>
    </row>
    <row r="25" spans="1:20" ht="15.75" x14ac:dyDescent="0.25">
      <c r="A25" s="183"/>
      <c r="B25" s="75" t="s">
        <v>79</v>
      </c>
      <c r="C25" s="186"/>
      <c r="D25" s="187"/>
      <c r="E25" s="188"/>
      <c r="F25" s="189"/>
      <c r="G25" s="186"/>
      <c r="H25" s="187"/>
      <c r="I25" s="188"/>
      <c r="J25" s="189"/>
      <c r="K25" s="186"/>
      <c r="L25" s="187"/>
      <c r="M25" s="188"/>
      <c r="N25" s="189"/>
      <c r="O25" s="190"/>
      <c r="P25" s="187"/>
      <c r="Q25" s="188"/>
      <c r="R25" s="191"/>
      <c r="S25" s="192"/>
      <c r="T25" s="7"/>
    </row>
    <row r="26" spans="1:20" ht="15.75" x14ac:dyDescent="0.25">
      <c r="A26" s="183"/>
      <c r="B26" s="75" t="s">
        <v>80</v>
      </c>
      <c r="C26" s="193" t="s">
        <v>0</v>
      </c>
      <c r="D26" s="193" t="s">
        <v>1</v>
      </c>
      <c r="E26" s="193" t="s">
        <v>2</v>
      </c>
      <c r="F26" s="193" t="s">
        <v>3</v>
      </c>
      <c r="G26" s="193" t="s">
        <v>4</v>
      </c>
      <c r="H26" s="193" t="s">
        <v>5</v>
      </c>
      <c r="I26" s="193" t="s">
        <v>6</v>
      </c>
      <c r="J26" s="193" t="s">
        <v>7</v>
      </c>
      <c r="K26" s="193" t="s">
        <v>8</v>
      </c>
      <c r="L26" s="193" t="s">
        <v>9</v>
      </c>
      <c r="M26" s="193" t="s">
        <v>10</v>
      </c>
      <c r="N26" s="193" t="s">
        <v>11</v>
      </c>
      <c r="O26" s="194" t="s">
        <v>12</v>
      </c>
      <c r="P26" s="195" t="s">
        <v>13</v>
      </c>
      <c r="Q26" s="195" t="s">
        <v>14</v>
      </c>
      <c r="R26" s="196" t="s">
        <v>15</v>
      </c>
      <c r="S26" s="197" t="s">
        <v>16</v>
      </c>
      <c r="T26" s="7"/>
    </row>
    <row r="27" spans="1:20" ht="15.75" x14ac:dyDescent="0.25">
      <c r="A27" s="183"/>
      <c r="B27" s="76" t="s">
        <v>81</v>
      </c>
      <c r="C27" s="198"/>
      <c r="D27" s="198"/>
      <c r="E27" s="198"/>
      <c r="F27" s="198"/>
      <c r="G27" s="198"/>
      <c r="H27" s="198"/>
      <c r="I27" s="198"/>
      <c r="J27" s="198"/>
      <c r="K27" s="198"/>
      <c r="L27" s="198"/>
      <c r="M27" s="198"/>
      <c r="N27" s="198"/>
      <c r="O27" s="199"/>
      <c r="P27" s="200"/>
      <c r="Q27" s="200"/>
      <c r="R27" s="201"/>
      <c r="S27" s="197"/>
      <c r="T27" s="7"/>
    </row>
    <row r="28" spans="1:20" ht="15.75" x14ac:dyDescent="0.25">
      <c r="A28" s="183"/>
      <c r="B28" s="34" t="s">
        <v>82</v>
      </c>
      <c r="C28" s="33">
        <v>5.22</v>
      </c>
      <c r="D28" s="33">
        <v>4.4710000000000001</v>
      </c>
      <c r="E28" s="33">
        <v>4.1260000000000003</v>
      </c>
      <c r="F28" s="33">
        <v>3.359</v>
      </c>
      <c r="G28" s="33">
        <v>3.2269999999999999</v>
      </c>
      <c r="H28" s="33">
        <v>3.0640000000000001</v>
      </c>
      <c r="I28" s="33">
        <v>3.4350000000000001</v>
      </c>
      <c r="J28" s="33">
        <v>2.7850000000000001</v>
      </c>
      <c r="K28" s="33">
        <v>3.4209999999999998</v>
      </c>
      <c r="L28" s="33">
        <v>5.202</v>
      </c>
      <c r="M28" s="33">
        <v>4.9809999999999999</v>
      </c>
      <c r="N28" s="33">
        <v>5.1470000000000002</v>
      </c>
      <c r="O28" s="36">
        <f>SUM(C28:E28)</f>
        <v>13.817</v>
      </c>
      <c r="P28" s="37">
        <f>SUM(F28:H28)</f>
        <v>9.65</v>
      </c>
      <c r="Q28" s="37">
        <f>SUM(I28:K28)</f>
        <v>9.641</v>
      </c>
      <c r="R28" s="38">
        <f>SUM(L28:N28)</f>
        <v>15.33</v>
      </c>
      <c r="S28" s="39">
        <f>SUM(O28:R28)</f>
        <v>48.437999999999995</v>
      </c>
      <c r="T28" s="7"/>
    </row>
    <row r="29" spans="1:20" ht="15.75" x14ac:dyDescent="0.25">
      <c r="A29" s="183"/>
      <c r="B29" s="34" t="s">
        <v>83</v>
      </c>
      <c r="C29" s="33">
        <v>6.39</v>
      </c>
      <c r="D29" s="33">
        <v>5.7060000000000004</v>
      </c>
      <c r="E29" s="33">
        <v>5.9610000000000003</v>
      </c>
      <c r="F29" s="33">
        <v>6.1230000000000002</v>
      </c>
      <c r="G29" s="33">
        <v>6.2359999999999998</v>
      </c>
      <c r="H29" s="33">
        <v>5.1310000000000002</v>
      </c>
      <c r="I29" s="33">
        <v>5.0350000000000001</v>
      </c>
      <c r="J29" s="33">
        <v>3.786</v>
      </c>
      <c r="K29" s="33">
        <v>4.4059999999999997</v>
      </c>
      <c r="L29" s="33">
        <v>4.5890000000000004</v>
      </c>
      <c r="M29" s="33">
        <v>5.0309999999999997</v>
      </c>
      <c r="N29" s="33">
        <v>5.383</v>
      </c>
      <c r="O29" s="36">
        <f>SUM(C29:E29)</f>
        <v>18.057000000000002</v>
      </c>
      <c r="P29" s="37">
        <f>SUM(F29:H29)</f>
        <v>17.490000000000002</v>
      </c>
      <c r="Q29" s="37">
        <f>SUM(I29:K29)</f>
        <v>13.227</v>
      </c>
      <c r="R29" s="38">
        <f>SUM(L29:N29)</f>
        <v>15.003</v>
      </c>
      <c r="S29" s="39">
        <f>SUM(O29:R29)</f>
        <v>63.777000000000001</v>
      </c>
      <c r="T29" s="7"/>
    </row>
    <row r="30" spans="1:20" ht="15.75" x14ac:dyDescent="0.25">
      <c r="A30" s="183"/>
      <c r="B30" s="34" t="s">
        <v>84</v>
      </c>
      <c r="C30" s="33">
        <v>1.6719999999999999</v>
      </c>
      <c r="D30" s="33">
        <v>1.5580000000000001</v>
      </c>
      <c r="E30" s="33">
        <v>1.6220000000000001</v>
      </c>
      <c r="F30" s="33">
        <v>1.5609999999999999</v>
      </c>
      <c r="G30" s="33">
        <v>1.629</v>
      </c>
      <c r="H30" s="33">
        <v>1.169</v>
      </c>
      <c r="I30" s="33">
        <v>1.5</v>
      </c>
      <c r="J30" s="33">
        <v>1.149</v>
      </c>
      <c r="K30" s="33">
        <v>1.1180000000000001</v>
      </c>
      <c r="L30" s="33">
        <v>1.843</v>
      </c>
      <c r="M30" s="33">
        <v>1.5389999999999999</v>
      </c>
      <c r="N30" s="33">
        <v>1.5529999999999999</v>
      </c>
      <c r="O30" s="36">
        <f>SUM(C30:E30)</f>
        <v>4.8520000000000003</v>
      </c>
      <c r="P30" s="37">
        <f>SUM(F30:H30)</f>
        <v>4.359</v>
      </c>
      <c r="Q30" s="37">
        <f>SUM(I30:K30)</f>
        <v>3.7670000000000003</v>
      </c>
      <c r="R30" s="38">
        <f>SUM(L30:N30)</f>
        <v>4.9349999999999996</v>
      </c>
      <c r="S30" s="39">
        <f>SUM(O30:R30)</f>
        <v>17.913</v>
      </c>
      <c r="T30" s="7"/>
    </row>
    <row r="31" spans="1:20" ht="15.75" x14ac:dyDescent="0.25">
      <c r="A31" s="183"/>
      <c r="B31" s="34" t="s">
        <v>85</v>
      </c>
      <c r="C31" s="33">
        <v>0.54900000000000004</v>
      </c>
      <c r="D31" s="33">
        <v>0.56000000000000005</v>
      </c>
      <c r="E31" s="33">
        <v>0.55100000000000005</v>
      </c>
      <c r="F31" s="33">
        <v>0.214</v>
      </c>
      <c r="G31" s="33">
        <v>0.18099999999999999</v>
      </c>
      <c r="H31" s="33">
        <v>0.13700000000000001</v>
      </c>
      <c r="I31" s="33">
        <v>0.17299999999999999</v>
      </c>
      <c r="J31" s="33">
        <v>0.122</v>
      </c>
      <c r="K31" s="33">
        <v>0.16800000000000001</v>
      </c>
      <c r="L31" s="33">
        <v>0.39700000000000002</v>
      </c>
      <c r="M31" s="33">
        <v>0.39300000000000002</v>
      </c>
      <c r="N31" s="33">
        <v>0.45800000000000002</v>
      </c>
      <c r="O31" s="36">
        <f>SUM(C31:E31)</f>
        <v>1.6600000000000001</v>
      </c>
      <c r="P31" s="37">
        <f>SUM(F31:H31)</f>
        <v>0.53200000000000003</v>
      </c>
      <c r="Q31" s="37">
        <f>SUM(I31:K31)</f>
        <v>0.46299999999999997</v>
      </c>
      <c r="R31" s="38">
        <f>SUM(L31:N31)</f>
        <v>1.248</v>
      </c>
      <c r="S31" s="39">
        <f>SUM(O31:R31)</f>
        <v>3.9030000000000005</v>
      </c>
      <c r="T31" s="7"/>
    </row>
    <row r="32" spans="1:20" ht="15.75" x14ac:dyDescent="0.25">
      <c r="A32" s="183"/>
      <c r="B32" s="34" t="s">
        <v>86</v>
      </c>
      <c r="C32" s="33">
        <v>0.84199999999999997</v>
      </c>
      <c r="D32" s="33">
        <v>0.93900000000000006</v>
      </c>
      <c r="E32" s="33">
        <v>1.0309999999999999</v>
      </c>
      <c r="F32" s="33">
        <v>0.88400000000000001</v>
      </c>
      <c r="G32" s="33">
        <v>0.77300000000000002</v>
      </c>
      <c r="H32" s="33">
        <v>0.90700000000000003</v>
      </c>
      <c r="I32" s="33">
        <v>0.86399999999999999</v>
      </c>
      <c r="J32" s="33">
        <v>0.8859999999999999</v>
      </c>
      <c r="K32" s="33">
        <v>0.84299999999999997</v>
      </c>
      <c r="L32" s="33">
        <v>0.95900000000000007</v>
      </c>
      <c r="M32" s="33">
        <v>1.08</v>
      </c>
      <c r="N32" s="33">
        <v>0.66400000000000003</v>
      </c>
      <c r="O32" s="36">
        <f t="shared" ref="O32:O33" si="3">SUM(C32:E32)</f>
        <v>2.8120000000000003</v>
      </c>
      <c r="P32" s="37">
        <f>SUM(F32:H32)</f>
        <v>2.5640000000000001</v>
      </c>
      <c r="Q32" s="37">
        <f>SUM(I32:K32)</f>
        <v>2.593</v>
      </c>
      <c r="R32" s="38">
        <f>SUM(L32:N32)</f>
        <v>2.7030000000000003</v>
      </c>
      <c r="S32" s="39">
        <f>SUM(O32:R32)</f>
        <v>10.672000000000001</v>
      </c>
      <c r="T32" s="7"/>
    </row>
    <row r="33" spans="1:20" ht="15.75" x14ac:dyDescent="0.25">
      <c r="A33" s="9"/>
      <c r="B33" s="35" t="s">
        <v>87</v>
      </c>
      <c r="C33" s="202">
        <f t="shared" ref="C33:N33" si="4">SUM(C28:C32)</f>
        <v>14.673</v>
      </c>
      <c r="D33" s="202">
        <f t="shared" si="4"/>
        <v>13.234</v>
      </c>
      <c r="E33" s="202">
        <f t="shared" si="4"/>
        <v>13.291</v>
      </c>
      <c r="F33" s="202">
        <f t="shared" si="4"/>
        <v>12.141</v>
      </c>
      <c r="G33" s="202">
        <f t="shared" si="4"/>
        <v>12.045999999999998</v>
      </c>
      <c r="H33" s="202">
        <f t="shared" si="4"/>
        <v>10.408000000000001</v>
      </c>
      <c r="I33" s="202">
        <f t="shared" si="4"/>
        <v>11.007000000000001</v>
      </c>
      <c r="J33" s="202">
        <f t="shared" si="4"/>
        <v>8.7279999999999998</v>
      </c>
      <c r="K33" s="202">
        <f t="shared" si="4"/>
        <v>9.9559999999999995</v>
      </c>
      <c r="L33" s="202">
        <f t="shared" si="4"/>
        <v>12.99</v>
      </c>
      <c r="M33" s="202">
        <f t="shared" si="4"/>
        <v>13.024000000000001</v>
      </c>
      <c r="N33" s="202">
        <f t="shared" si="4"/>
        <v>13.205000000000002</v>
      </c>
      <c r="O33" s="203">
        <f t="shared" si="3"/>
        <v>41.198</v>
      </c>
      <c r="P33" s="202">
        <f t="shared" ref="P33:S33" si="5">SUM(P28:P32)</f>
        <v>34.595000000000006</v>
      </c>
      <c r="Q33" s="202">
        <f t="shared" si="5"/>
        <v>29.691000000000003</v>
      </c>
      <c r="R33" s="202">
        <f t="shared" si="5"/>
        <v>39.219000000000001</v>
      </c>
      <c r="S33" s="204">
        <f t="shared" si="5"/>
        <v>144.703</v>
      </c>
      <c r="T33" s="9"/>
    </row>
    <row r="34" spans="1:20" x14ac:dyDescent="0.2">
      <c r="A34" s="183"/>
      <c r="B34" s="183"/>
      <c r="C34" s="11"/>
      <c r="D34" s="2"/>
      <c r="E34" s="3"/>
      <c r="F34" s="4"/>
      <c r="G34" s="5"/>
      <c r="H34" s="2"/>
      <c r="I34" s="3"/>
      <c r="J34" s="4"/>
      <c r="K34" s="5"/>
      <c r="L34" s="2"/>
      <c r="M34" s="3"/>
      <c r="N34" s="4"/>
      <c r="O34" s="5"/>
      <c r="P34" s="2"/>
      <c r="Q34" s="3"/>
      <c r="R34" s="4"/>
      <c r="S34" s="6"/>
      <c r="T34" s="7"/>
    </row>
    <row r="35" spans="1:20" x14ac:dyDescent="0.2">
      <c r="C35"/>
    </row>
    <row r="36" spans="1:20" x14ac:dyDescent="0.2">
      <c r="C36"/>
    </row>
    <row r="38" spans="1:20" x14ac:dyDescent="0.2">
      <c r="D38" s="184"/>
      <c r="E38" s="184"/>
      <c r="F38" s="184"/>
      <c r="G38" s="184"/>
      <c r="H38" s="184"/>
      <c r="I38" s="184"/>
      <c r="J38" s="184"/>
      <c r="K38" s="184"/>
      <c r="L38" s="184"/>
      <c r="M38" s="184"/>
      <c r="N38" s="184"/>
    </row>
    <row r="41" spans="1:20" x14ac:dyDescent="0.2">
      <c r="D41" s="184"/>
      <c r="E41" s="184"/>
      <c r="F41" s="184"/>
      <c r="G41" s="184"/>
      <c r="H41" s="184"/>
      <c r="I41" s="184"/>
      <c r="J41" s="184"/>
      <c r="K41" s="184"/>
      <c r="L41" s="184"/>
      <c r="M41" s="184"/>
      <c r="N41" s="184"/>
    </row>
    <row r="42" spans="1:20" x14ac:dyDescent="0.2">
      <c r="D42" s="184"/>
      <c r="E42" s="184"/>
      <c r="F42" s="184"/>
      <c r="G42" s="184"/>
      <c r="H42" s="184"/>
      <c r="I42" s="184"/>
      <c r="J42" s="184"/>
      <c r="K42" s="184"/>
      <c r="L42" s="184"/>
      <c r="M42" s="184"/>
      <c r="N42" s="184"/>
    </row>
    <row r="43" spans="1:20" x14ac:dyDescent="0.2">
      <c r="D43" s="184"/>
      <c r="E43" s="184"/>
      <c r="F43" s="184"/>
      <c r="G43" s="184"/>
      <c r="H43" s="184"/>
      <c r="I43" s="184"/>
      <c r="J43" s="184"/>
      <c r="K43" s="184"/>
      <c r="L43" s="184"/>
      <c r="M43" s="184"/>
      <c r="N43" s="184"/>
    </row>
    <row r="44" spans="1:20" x14ac:dyDescent="0.2">
      <c r="D44" s="184"/>
      <c r="E44" s="184"/>
      <c r="F44" s="184"/>
      <c r="G44" s="184"/>
      <c r="H44" s="184"/>
      <c r="I44" s="184"/>
      <c r="J44" s="184"/>
      <c r="K44" s="184"/>
      <c r="L44" s="184"/>
      <c r="M44" s="184"/>
      <c r="N44" s="184"/>
    </row>
  </sheetData>
  <printOptions horizontalCentered="1"/>
  <pageMargins left="0" right="0" top="0.39370078740157483" bottom="0.39370078740157483" header="0.19685039370078741" footer="0.19685039370078741"/>
  <pageSetup paperSize="9" scale="74" orientation="landscape" horizontalDpi="4294967292"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Q47"/>
  <sheetViews>
    <sheetView topLeftCell="B4" zoomScaleNormal="100" workbookViewId="0">
      <selection activeCell="D30" sqref="D30"/>
    </sheetView>
  </sheetViews>
  <sheetFormatPr defaultColWidth="9.140625" defaultRowHeight="14.25" customHeight="1" x14ac:dyDescent="0.2"/>
  <cols>
    <col min="1" max="1" width="2.85546875" style="184" customWidth="1"/>
    <col min="2" max="2" width="78.140625" style="16" customWidth="1"/>
    <col min="3" max="3" width="9.85546875" style="17" customWidth="1"/>
    <col min="4" max="4" width="9.85546875" style="18" customWidth="1"/>
    <col min="5" max="5" width="9.85546875" style="19" customWidth="1"/>
    <col min="6" max="6" width="9.85546875" style="20" customWidth="1"/>
    <col min="7" max="7" width="10.85546875" style="21" customWidth="1"/>
    <col min="8" max="12" width="9.85546875" style="184" customWidth="1"/>
    <col min="13" max="13" width="2.85546875" style="184" customWidth="1"/>
    <col min="14" max="16384" width="9.140625" style="184"/>
  </cols>
  <sheetData>
    <row r="5" spans="1:13" ht="14.25" customHeight="1" x14ac:dyDescent="0.2">
      <c r="H5" s="184" t="s">
        <v>97</v>
      </c>
    </row>
    <row r="6" spans="1:13" ht="14.25" customHeight="1" x14ac:dyDescent="0.2">
      <c r="G6" s="21" t="s">
        <v>97</v>
      </c>
      <c r="H6" s="184" t="s">
        <v>97</v>
      </c>
    </row>
    <row r="7" spans="1:13" ht="15" customHeight="1" x14ac:dyDescent="0.2">
      <c r="A7" s="183"/>
      <c r="B7" s="206"/>
      <c r="C7" s="23"/>
      <c r="D7" s="24"/>
      <c r="E7" s="25"/>
      <c r="F7" s="26"/>
      <c r="G7" s="27"/>
      <c r="H7" s="183"/>
      <c r="I7" s="183"/>
      <c r="J7" s="183"/>
      <c r="K7" s="183"/>
      <c r="L7" s="183"/>
      <c r="M7" s="183"/>
    </row>
    <row r="8" spans="1:13" ht="18.75" customHeight="1" x14ac:dyDescent="0.25">
      <c r="A8" s="183"/>
      <c r="B8" s="108" t="s">
        <v>26</v>
      </c>
      <c r="C8" s="109"/>
      <c r="D8" s="110"/>
      <c r="E8" s="111">
        <v>2021</v>
      </c>
      <c r="F8" s="112"/>
      <c r="G8" s="137"/>
      <c r="H8" s="135"/>
      <c r="I8" s="110"/>
      <c r="J8" s="111">
        <v>2020</v>
      </c>
      <c r="K8" s="112"/>
      <c r="L8" s="113"/>
      <c r="M8" s="183"/>
    </row>
    <row r="9" spans="1:13" ht="18.75" customHeight="1" x14ac:dyDescent="0.25">
      <c r="A9" s="183"/>
      <c r="B9" s="108" t="s">
        <v>27</v>
      </c>
      <c r="C9" s="114" t="s">
        <v>21</v>
      </c>
      <c r="D9" s="115" t="s">
        <v>22</v>
      </c>
      <c r="E9" s="116" t="s">
        <v>23</v>
      </c>
      <c r="F9" s="117" t="s">
        <v>24</v>
      </c>
      <c r="G9" s="138" t="s">
        <v>25</v>
      </c>
      <c r="H9" s="136" t="s">
        <v>21</v>
      </c>
      <c r="I9" s="115" t="s">
        <v>22</v>
      </c>
      <c r="J9" s="116" t="s">
        <v>23</v>
      </c>
      <c r="K9" s="117" t="s">
        <v>24</v>
      </c>
      <c r="L9" s="118" t="s">
        <v>25</v>
      </c>
      <c r="M9" s="183"/>
    </row>
    <row r="10" spans="1:13" ht="22.5" customHeight="1" x14ac:dyDescent="0.25">
      <c r="A10" s="183"/>
      <c r="B10" s="207" t="s">
        <v>29</v>
      </c>
      <c r="C10" s="139">
        <f>3.962+115.287</f>
        <v>119.24900000000001</v>
      </c>
      <c r="D10" s="140">
        <f>3.04+132.52</f>
        <v>135.56</v>
      </c>
      <c r="E10" s="231">
        <f>2.797+130.726</f>
        <v>133.523</v>
      </c>
      <c r="F10" s="140">
        <f>4.523+147.533</f>
        <v>152.05599999999998</v>
      </c>
      <c r="G10" s="141">
        <f t="shared" ref="G10:G30" si="0">SUM(C10:F10)</f>
        <v>540.38799999999992</v>
      </c>
      <c r="H10" s="139">
        <v>146.02199999999999</v>
      </c>
      <c r="I10" s="140">
        <v>124.71499999999999</v>
      </c>
      <c r="J10" s="140">
        <v>119.506</v>
      </c>
      <c r="K10" s="140">
        <v>119.84100000000001</v>
      </c>
      <c r="L10" s="142">
        <f t="shared" ref="L10:L30" si="1">SUM(H10:K10)</f>
        <v>510.08399999999995</v>
      </c>
      <c r="M10" s="183"/>
    </row>
    <row r="11" spans="1:13" ht="22.5" customHeight="1" x14ac:dyDescent="0.25">
      <c r="A11" s="183"/>
      <c r="B11" s="207" t="s">
        <v>28</v>
      </c>
      <c r="C11" s="140">
        <f>7.587+54.602</f>
        <v>62.188999999999993</v>
      </c>
      <c r="D11" s="140">
        <f>5.8+48.893</f>
        <v>54.692999999999998</v>
      </c>
      <c r="E11" s="231">
        <f>4.955+47.262</f>
        <v>52.216999999999999</v>
      </c>
      <c r="F11" s="140">
        <f>8.653+41.211</f>
        <v>49.863999999999997</v>
      </c>
      <c r="G11" s="141">
        <f t="shared" si="0"/>
        <v>218.96299999999999</v>
      </c>
      <c r="H11" s="140">
        <v>41.600999999999999</v>
      </c>
      <c r="I11" s="140">
        <v>37.109000000000002</v>
      </c>
      <c r="J11" s="140">
        <v>39.538999999999994</v>
      </c>
      <c r="K11" s="140">
        <v>57.960999999999999</v>
      </c>
      <c r="L11" s="142">
        <f t="shared" si="1"/>
        <v>176.20999999999998</v>
      </c>
      <c r="M11" s="183"/>
    </row>
    <row r="12" spans="1:13" ht="22.5" customHeight="1" x14ac:dyDescent="0.25">
      <c r="A12" s="183"/>
      <c r="B12" s="207" t="s">
        <v>30</v>
      </c>
      <c r="C12" s="140">
        <v>153.93899999999999</v>
      </c>
      <c r="D12" s="140">
        <v>120.66800000000001</v>
      </c>
      <c r="E12" s="231">
        <v>112.99</v>
      </c>
      <c r="F12" s="140">
        <v>136.23400000000001</v>
      </c>
      <c r="G12" s="141">
        <f t="shared" si="0"/>
        <v>523.83100000000002</v>
      </c>
      <c r="H12" s="140">
        <v>152.767</v>
      </c>
      <c r="I12" s="140">
        <v>124.285</v>
      </c>
      <c r="J12" s="140">
        <v>124.30200000000001</v>
      </c>
      <c r="K12" s="140">
        <v>152.84299999999999</v>
      </c>
      <c r="L12" s="142">
        <f t="shared" si="1"/>
        <v>554.197</v>
      </c>
      <c r="M12" s="183"/>
    </row>
    <row r="13" spans="1:13" ht="22.5" customHeight="1" x14ac:dyDescent="0.25">
      <c r="A13" s="183"/>
      <c r="B13" s="207" t="s">
        <v>31</v>
      </c>
      <c r="C13" s="140">
        <v>34.911999999999999</v>
      </c>
      <c r="D13" s="140">
        <v>23.643000000000001</v>
      </c>
      <c r="E13" s="231">
        <v>22.984999999999999</v>
      </c>
      <c r="F13" s="140">
        <v>32.506</v>
      </c>
      <c r="G13" s="141">
        <f t="shared" si="0"/>
        <v>114.04599999999999</v>
      </c>
      <c r="H13" s="140">
        <v>32.744</v>
      </c>
      <c r="I13" s="140">
        <v>22.109000000000002</v>
      </c>
      <c r="J13" s="140">
        <v>20.503</v>
      </c>
      <c r="K13" s="140">
        <v>33.875</v>
      </c>
      <c r="L13" s="142">
        <f t="shared" si="1"/>
        <v>109.23099999999999</v>
      </c>
      <c r="M13" s="183"/>
    </row>
    <row r="14" spans="1:13" ht="22.5" customHeight="1" x14ac:dyDescent="0.25">
      <c r="A14" s="183"/>
      <c r="B14" s="207" t="s">
        <v>32</v>
      </c>
      <c r="C14" s="140">
        <v>45.33</v>
      </c>
      <c r="D14" s="140">
        <v>38.17</v>
      </c>
      <c r="E14" s="231">
        <v>34.396999999999998</v>
      </c>
      <c r="F14" s="140">
        <v>43.511000000000003</v>
      </c>
      <c r="G14" s="141">
        <f t="shared" si="0"/>
        <v>161.40799999999999</v>
      </c>
      <c r="H14" s="140">
        <v>42.579000000000001</v>
      </c>
      <c r="I14" s="140">
        <v>35.42</v>
      </c>
      <c r="J14" s="140">
        <v>32.222999999999999</v>
      </c>
      <c r="K14" s="140">
        <v>43.539000000000001</v>
      </c>
      <c r="L14" s="142">
        <f t="shared" si="1"/>
        <v>153.761</v>
      </c>
      <c r="M14" s="183"/>
    </row>
    <row r="15" spans="1:13" ht="22.5" customHeight="1" x14ac:dyDescent="0.25">
      <c r="A15" s="183"/>
      <c r="B15" s="207" t="s">
        <v>33</v>
      </c>
      <c r="C15" s="140">
        <f>0.701+23.44+0.206+0.337</f>
        <v>24.684000000000001</v>
      </c>
      <c r="D15" s="140">
        <f>0.568+22.002+0.105+0.457</f>
        <v>23.132000000000001</v>
      </c>
      <c r="E15" s="231">
        <f>0.443+20.641+0.174+0.349</f>
        <v>21.606999999999999</v>
      </c>
      <c r="F15" s="140">
        <f>23.605+1.19+0.485+0.608</f>
        <v>25.888000000000002</v>
      </c>
      <c r="G15" s="141">
        <f t="shared" si="0"/>
        <v>95.311000000000007</v>
      </c>
      <c r="H15" s="140">
        <v>26.261000000000003</v>
      </c>
      <c r="I15" s="140">
        <v>25.835000000000001</v>
      </c>
      <c r="J15" s="140">
        <v>26.589999999999996</v>
      </c>
      <c r="K15" s="140">
        <v>24.742000000000001</v>
      </c>
      <c r="L15" s="142">
        <f t="shared" si="1"/>
        <v>103.42800000000001</v>
      </c>
      <c r="M15" s="183"/>
    </row>
    <row r="16" spans="1:13" ht="22.5" customHeight="1" x14ac:dyDescent="0.25">
      <c r="A16" s="183"/>
      <c r="B16" s="207" t="s">
        <v>34</v>
      </c>
      <c r="C16" s="140">
        <v>30.527999999999999</v>
      </c>
      <c r="D16" s="140">
        <v>24.239000000000001</v>
      </c>
      <c r="E16" s="231">
        <v>22.994</v>
      </c>
      <c r="F16" s="140">
        <v>24.431999999999999</v>
      </c>
      <c r="G16" s="141">
        <f t="shared" si="0"/>
        <v>102.193</v>
      </c>
      <c r="H16" s="140">
        <v>33.857999999999997</v>
      </c>
      <c r="I16" s="140">
        <v>20.466999999999999</v>
      </c>
      <c r="J16" s="140">
        <v>20.481000000000002</v>
      </c>
      <c r="K16" s="140">
        <v>28.396000000000001</v>
      </c>
      <c r="L16" s="142">
        <f t="shared" si="1"/>
        <v>103.202</v>
      </c>
      <c r="M16" s="183"/>
    </row>
    <row r="17" spans="1:17" ht="22.5" customHeight="1" x14ac:dyDescent="0.25">
      <c r="A17" s="183"/>
      <c r="B17" s="207" t="s">
        <v>35</v>
      </c>
      <c r="C17" s="140">
        <v>94.126999999999995</v>
      </c>
      <c r="D17" s="140">
        <v>86.144000000000005</v>
      </c>
      <c r="E17" s="231">
        <v>82.313999999999993</v>
      </c>
      <c r="F17" s="140">
        <v>92.471000000000004</v>
      </c>
      <c r="G17" s="141">
        <f t="shared" si="0"/>
        <v>355.05600000000004</v>
      </c>
      <c r="H17" s="140">
        <v>103.227</v>
      </c>
      <c r="I17" s="140">
        <v>93.68</v>
      </c>
      <c r="J17" s="140">
        <v>91.116</v>
      </c>
      <c r="K17" s="140">
        <v>103.274</v>
      </c>
      <c r="L17" s="142">
        <f t="shared" si="1"/>
        <v>391.29700000000003</v>
      </c>
      <c r="M17" s="183"/>
    </row>
    <row r="18" spans="1:17" ht="22.5" customHeight="1" x14ac:dyDescent="0.25">
      <c r="A18" s="183"/>
      <c r="B18" s="207" t="s">
        <v>36</v>
      </c>
      <c r="C18" s="140">
        <f>0.041+12.942</f>
        <v>12.983000000000001</v>
      </c>
      <c r="D18" s="140">
        <f>0.813+8.952</f>
        <v>9.7650000000000006</v>
      </c>
      <c r="E18" s="231">
        <f>0.029+8.624</f>
        <v>8.6530000000000005</v>
      </c>
      <c r="F18" s="140">
        <f>0.035+10.317</f>
        <v>10.352</v>
      </c>
      <c r="G18" s="141">
        <f t="shared" si="0"/>
        <v>41.753</v>
      </c>
      <c r="H18" s="140">
        <v>25.369999999999997</v>
      </c>
      <c r="I18" s="140">
        <v>20.565000000000001</v>
      </c>
      <c r="J18" s="140">
        <v>18.346999999999998</v>
      </c>
      <c r="K18" s="140">
        <v>20.616</v>
      </c>
      <c r="L18" s="142">
        <f t="shared" si="1"/>
        <v>84.897999999999996</v>
      </c>
      <c r="M18" s="183"/>
    </row>
    <row r="19" spans="1:17" ht="22.5" customHeight="1" x14ac:dyDescent="0.25">
      <c r="A19" s="183"/>
      <c r="B19" s="207" t="s">
        <v>37</v>
      </c>
      <c r="C19" s="140">
        <v>3.0000000000000001E-3</v>
      </c>
      <c r="D19" s="140">
        <v>2E-3</v>
      </c>
      <c r="E19" s="231">
        <v>0</v>
      </c>
      <c r="F19" s="140">
        <v>0</v>
      </c>
      <c r="G19" s="141">
        <f t="shared" si="0"/>
        <v>5.0000000000000001E-3</v>
      </c>
      <c r="H19" s="140">
        <v>1E-3</v>
      </c>
      <c r="I19" s="140">
        <v>1E-3</v>
      </c>
      <c r="J19" s="140">
        <v>4.0000000000000001E-3</v>
      </c>
      <c r="K19" s="140">
        <v>1E-3</v>
      </c>
      <c r="L19" s="142">
        <f t="shared" si="1"/>
        <v>7.0000000000000001E-3</v>
      </c>
      <c r="M19" s="183"/>
    </row>
    <row r="20" spans="1:17" ht="22.5" customHeight="1" x14ac:dyDescent="0.25">
      <c r="A20" s="183"/>
      <c r="B20" s="207" t="s">
        <v>38</v>
      </c>
      <c r="C20" s="140">
        <v>0</v>
      </c>
      <c r="D20" s="140">
        <v>0</v>
      </c>
      <c r="E20" s="231">
        <v>0</v>
      </c>
      <c r="F20" s="140">
        <v>0</v>
      </c>
      <c r="G20" s="141">
        <f t="shared" si="0"/>
        <v>0</v>
      </c>
      <c r="H20" s="140">
        <v>0</v>
      </c>
      <c r="I20" s="140">
        <v>0</v>
      </c>
      <c r="J20" s="140">
        <v>0</v>
      </c>
      <c r="K20" s="140">
        <v>0</v>
      </c>
      <c r="L20" s="142">
        <f t="shared" si="1"/>
        <v>0</v>
      </c>
      <c r="M20" s="183"/>
      <c r="P20" s="210"/>
    </row>
    <row r="21" spans="1:17" ht="22.5" customHeight="1" x14ac:dyDescent="0.25">
      <c r="A21" s="183"/>
      <c r="B21" s="207" t="s">
        <v>39</v>
      </c>
      <c r="C21" s="140">
        <f>1.671+0.056</f>
        <v>1.7270000000000001</v>
      </c>
      <c r="D21" s="140">
        <f>1.492+0.002</f>
        <v>1.494</v>
      </c>
      <c r="E21" s="231">
        <f>1.49+0.04</f>
        <v>1.53</v>
      </c>
      <c r="F21" s="140">
        <v>2.105</v>
      </c>
      <c r="G21" s="141">
        <f t="shared" si="0"/>
        <v>6.8559999999999999</v>
      </c>
      <c r="H21" s="140">
        <v>1.7529999999999999</v>
      </c>
      <c r="I21" s="140">
        <v>1.641</v>
      </c>
      <c r="J21" s="140">
        <v>1.2229999999999999</v>
      </c>
      <c r="K21" s="140">
        <v>1.5669999999999999</v>
      </c>
      <c r="L21" s="142">
        <f t="shared" si="1"/>
        <v>6.1840000000000002</v>
      </c>
      <c r="M21" s="183"/>
    </row>
    <row r="22" spans="1:17" ht="22.5" customHeight="1" x14ac:dyDescent="0.25">
      <c r="A22" s="183"/>
      <c r="B22" s="207" t="s">
        <v>40</v>
      </c>
      <c r="C22" s="140">
        <v>0</v>
      </c>
      <c r="D22" s="140">
        <v>0</v>
      </c>
      <c r="E22" s="231">
        <v>0</v>
      </c>
      <c r="F22" s="140">
        <v>0</v>
      </c>
      <c r="G22" s="141">
        <f t="shared" si="0"/>
        <v>0</v>
      </c>
      <c r="H22" s="140">
        <v>0.46200000000000002</v>
      </c>
      <c r="I22" s="140">
        <v>0</v>
      </c>
      <c r="J22" s="140">
        <v>0</v>
      </c>
      <c r="K22" s="140">
        <v>0</v>
      </c>
      <c r="L22" s="142">
        <f t="shared" si="1"/>
        <v>0.46200000000000002</v>
      </c>
      <c r="M22" s="183"/>
      <c r="P22" s="210"/>
    </row>
    <row r="23" spans="1:17" ht="22.5" customHeight="1" x14ac:dyDescent="0.25">
      <c r="A23" s="183"/>
      <c r="B23" s="207" t="s">
        <v>41</v>
      </c>
      <c r="C23" s="140">
        <v>0.21299999999999999</v>
      </c>
      <c r="D23" s="140">
        <v>0.16600000000000001</v>
      </c>
      <c r="E23" s="231">
        <v>0.14199999999999999</v>
      </c>
      <c r="F23" s="140">
        <v>0.115</v>
      </c>
      <c r="G23" s="141">
        <f t="shared" si="0"/>
        <v>0.63600000000000001</v>
      </c>
      <c r="H23" s="140">
        <v>2.2269999999999999</v>
      </c>
      <c r="I23" s="140">
        <v>1.8560000000000001</v>
      </c>
      <c r="J23" s="140">
        <v>1.7130000000000001</v>
      </c>
      <c r="K23" s="140">
        <v>1.8220000000000001</v>
      </c>
      <c r="L23" s="142">
        <f t="shared" si="1"/>
        <v>7.6180000000000003</v>
      </c>
      <c r="M23" s="183"/>
    </row>
    <row r="24" spans="1:17" ht="22.5" customHeight="1" x14ac:dyDescent="0.25">
      <c r="A24" s="183"/>
      <c r="B24" s="207" t="s">
        <v>42</v>
      </c>
      <c r="C24" s="140">
        <v>17.657</v>
      </c>
      <c r="D24" s="140">
        <v>15.425000000000001</v>
      </c>
      <c r="E24" s="231">
        <v>14.21</v>
      </c>
      <c r="F24" s="140">
        <v>17.280999999999999</v>
      </c>
      <c r="G24" s="141">
        <f t="shared" si="0"/>
        <v>64.573000000000008</v>
      </c>
      <c r="H24" s="140">
        <v>17.266999999999999</v>
      </c>
      <c r="I24" s="140">
        <v>14.082000000000001</v>
      </c>
      <c r="J24" s="140">
        <v>13.286</v>
      </c>
      <c r="K24" s="140">
        <v>16.79</v>
      </c>
      <c r="L24" s="142">
        <f t="shared" si="1"/>
        <v>61.424999999999997</v>
      </c>
      <c r="M24" s="183"/>
    </row>
    <row r="25" spans="1:17" ht="22.5" customHeight="1" x14ac:dyDescent="0.25">
      <c r="A25" s="183"/>
      <c r="B25" s="207" t="s">
        <v>43</v>
      </c>
      <c r="C25" s="140">
        <v>7.0129999999999999</v>
      </c>
      <c r="D25" s="140">
        <v>7.335</v>
      </c>
      <c r="E25" s="231">
        <v>6.944</v>
      </c>
      <c r="F25" s="140">
        <v>7.3650000000000002</v>
      </c>
      <c r="G25" s="141">
        <f t="shared" si="0"/>
        <v>28.656999999999996</v>
      </c>
      <c r="H25" s="140">
        <v>6.827</v>
      </c>
      <c r="I25" s="140">
        <v>6.2759999999999998</v>
      </c>
      <c r="J25" s="140">
        <v>5.827</v>
      </c>
      <c r="K25" s="140">
        <v>6.7030000000000003</v>
      </c>
      <c r="L25" s="142">
        <f t="shared" si="1"/>
        <v>25.632999999999999</v>
      </c>
      <c r="M25" s="183"/>
    </row>
    <row r="26" spans="1:17" ht="22.5" customHeight="1" x14ac:dyDescent="0.25">
      <c r="A26" s="183"/>
      <c r="B26" s="207" t="s">
        <v>49</v>
      </c>
      <c r="C26" s="140">
        <f>2.237+15.298</f>
        <v>17.535</v>
      </c>
      <c r="D26" s="140">
        <f>0.928+11.413</f>
        <v>12.341000000000001</v>
      </c>
      <c r="E26" s="231">
        <f>0.817+11.287</f>
        <v>12.104000000000001</v>
      </c>
      <c r="F26" s="140">
        <f>1.387+13.948</f>
        <v>15.335000000000001</v>
      </c>
      <c r="G26" s="141">
        <f t="shared" si="0"/>
        <v>57.315000000000005</v>
      </c>
      <c r="H26" s="140">
        <v>14.173999999999999</v>
      </c>
      <c r="I26" s="140">
        <v>10.563000000000001</v>
      </c>
      <c r="J26" s="140">
        <v>9.2490000000000006</v>
      </c>
      <c r="K26" s="140">
        <v>13.567</v>
      </c>
      <c r="L26" s="142">
        <f t="shared" si="1"/>
        <v>47.553000000000004</v>
      </c>
      <c r="M26" s="183"/>
    </row>
    <row r="27" spans="1:17" ht="22.5" customHeight="1" x14ac:dyDescent="0.25">
      <c r="A27" s="183"/>
      <c r="B27" s="208" t="s">
        <v>44</v>
      </c>
      <c r="C27" s="140">
        <v>25.088000000000001</v>
      </c>
      <c r="D27" s="140">
        <v>23.039000000000001</v>
      </c>
      <c r="E27" s="231">
        <v>22.167999999999999</v>
      </c>
      <c r="F27" s="140">
        <v>23.960999999999999</v>
      </c>
      <c r="G27" s="141">
        <f t="shared" si="0"/>
        <v>94.256</v>
      </c>
      <c r="H27" s="140">
        <v>21.212</v>
      </c>
      <c r="I27" s="140">
        <v>19.57</v>
      </c>
      <c r="J27" s="140">
        <v>19.204999999999998</v>
      </c>
      <c r="K27" s="140">
        <v>24.013999999999999</v>
      </c>
      <c r="L27" s="142">
        <f t="shared" si="1"/>
        <v>84.000999999999991</v>
      </c>
      <c r="M27" s="183"/>
      <c r="Q27" s="210"/>
    </row>
    <row r="28" spans="1:17" ht="22.5" customHeight="1" x14ac:dyDescent="0.25">
      <c r="A28" s="183"/>
      <c r="B28" s="207" t="s">
        <v>99</v>
      </c>
      <c r="C28" s="140">
        <v>37.942999999999998</v>
      </c>
      <c r="D28" s="140">
        <v>38.783999999999999</v>
      </c>
      <c r="E28" s="231">
        <v>35.341000000000001</v>
      </c>
      <c r="F28" s="140">
        <v>40.835999999999999</v>
      </c>
      <c r="G28" s="141">
        <f t="shared" si="0"/>
        <v>152.904</v>
      </c>
      <c r="H28" s="140"/>
      <c r="I28" s="140"/>
      <c r="J28" s="140"/>
      <c r="K28" s="140"/>
      <c r="L28" s="142"/>
      <c r="M28" s="183"/>
      <c r="Q28" s="210"/>
    </row>
    <row r="29" spans="1:17" ht="22.5" customHeight="1" x14ac:dyDescent="0.25">
      <c r="A29" s="183"/>
      <c r="B29" s="207" t="s">
        <v>100</v>
      </c>
      <c r="C29" s="140">
        <v>9.3770000000000007</v>
      </c>
      <c r="D29" s="140">
        <v>8.1880000000000006</v>
      </c>
      <c r="E29" s="231">
        <v>7.3449999999999998</v>
      </c>
      <c r="F29" s="140">
        <v>8.4819999999999993</v>
      </c>
      <c r="G29" s="141">
        <f t="shared" si="0"/>
        <v>33.391999999999996</v>
      </c>
      <c r="H29" s="140"/>
      <c r="I29" s="140"/>
      <c r="J29" s="140"/>
      <c r="K29" s="140"/>
      <c r="L29" s="142"/>
      <c r="M29" s="183"/>
      <c r="Q29" s="251"/>
    </row>
    <row r="30" spans="1:17" ht="22.5" customHeight="1" x14ac:dyDescent="0.25">
      <c r="A30" s="183"/>
      <c r="B30" s="207" t="s">
        <v>45</v>
      </c>
      <c r="C30" s="140">
        <f>7.33+1.652+1.122</f>
        <v>10.103999999999999</v>
      </c>
      <c r="D30" s="140">
        <f>6.929+2.092+0.939</f>
        <v>9.9600000000000009</v>
      </c>
      <c r="E30" s="231">
        <f>7.063+2.929+0.829</f>
        <v>10.821</v>
      </c>
      <c r="F30" s="140">
        <f>9.472+0.915+2.131</f>
        <v>12.518000000000001</v>
      </c>
      <c r="G30" s="141">
        <f t="shared" si="0"/>
        <v>43.402999999999999</v>
      </c>
      <c r="H30" s="140">
        <v>34.116</v>
      </c>
      <c r="I30" s="140">
        <v>26.57</v>
      </c>
      <c r="J30" s="140">
        <v>27.033999999999999</v>
      </c>
      <c r="K30" s="140">
        <v>32.304000000000002</v>
      </c>
      <c r="L30" s="142">
        <f t="shared" si="1"/>
        <v>120.024</v>
      </c>
      <c r="M30" s="183"/>
      <c r="Q30" s="251"/>
    </row>
    <row r="31" spans="1:17" ht="22.5" customHeight="1" x14ac:dyDescent="0.25">
      <c r="A31" s="183"/>
      <c r="B31" s="106" t="s">
        <v>88</v>
      </c>
      <c r="C31" s="170">
        <f>SUM(C10:C30)</f>
        <v>704.60099999999989</v>
      </c>
      <c r="D31" s="170">
        <f t="shared" ref="D31:L31" si="2">SUM(D10:D30)</f>
        <v>632.74800000000005</v>
      </c>
      <c r="E31" s="170">
        <f t="shared" si="2"/>
        <v>602.28500000000008</v>
      </c>
      <c r="F31" s="170">
        <f t="shared" si="2"/>
        <v>695.31200000000001</v>
      </c>
      <c r="G31" s="143">
        <f t="shared" si="2"/>
        <v>2634.9459999999999</v>
      </c>
      <c r="H31" s="170">
        <f t="shared" si="2"/>
        <v>702.46800000000007</v>
      </c>
      <c r="I31" s="170">
        <f t="shared" si="2"/>
        <v>584.74400000000003</v>
      </c>
      <c r="J31" s="170">
        <f>SUM(J10:J30)</f>
        <v>570.14800000000002</v>
      </c>
      <c r="K31" s="170">
        <f t="shared" si="2"/>
        <v>681.8549999999999</v>
      </c>
      <c r="L31" s="144">
        <f t="shared" si="2"/>
        <v>2539.2150000000001</v>
      </c>
      <c r="M31" s="183"/>
      <c r="Q31" s="210"/>
    </row>
    <row r="32" spans="1:17" ht="14.25" customHeight="1" x14ac:dyDescent="0.2">
      <c r="A32" s="183"/>
      <c r="B32" s="6"/>
      <c r="C32" s="28"/>
      <c r="D32" s="29"/>
      <c r="E32" s="30"/>
      <c r="F32" s="31"/>
      <c r="G32" s="32"/>
      <c r="H32" s="183"/>
      <c r="I32" s="183"/>
      <c r="J32" s="183"/>
      <c r="K32" s="183"/>
      <c r="L32" s="183"/>
      <c r="M32" s="183"/>
    </row>
    <row r="33" spans="1:16" ht="9" customHeight="1" x14ac:dyDescent="0.2">
      <c r="A33" s="205"/>
      <c r="B33" s="145"/>
      <c r="C33" s="146"/>
      <c r="D33" s="147"/>
      <c r="E33" s="148"/>
      <c r="F33" s="149"/>
      <c r="G33" s="150"/>
      <c r="H33" s="205"/>
      <c r="I33" s="205"/>
      <c r="J33" s="205"/>
      <c r="K33" s="205"/>
      <c r="L33" s="205"/>
      <c r="M33" s="205"/>
    </row>
    <row r="34" spans="1:16" ht="14.25" customHeight="1" x14ac:dyDescent="0.2">
      <c r="B34" s="209" t="s">
        <v>46</v>
      </c>
      <c r="D34" s="236"/>
      <c r="E34" s="17"/>
      <c r="F34" s="17"/>
      <c r="I34" s="210"/>
      <c r="P34" s="210"/>
    </row>
    <row r="35" spans="1:16" ht="14.25" customHeight="1" x14ac:dyDescent="0.2">
      <c r="C35" s="236"/>
    </row>
    <row r="36" spans="1:16" ht="14.25" customHeight="1" x14ac:dyDescent="0.2">
      <c r="E36" s="232"/>
    </row>
    <row r="37" spans="1:16" ht="14.25" customHeight="1" x14ac:dyDescent="0.2">
      <c r="D37" s="236"/>
      <c r="E37" s="17"/>
      <c r="F37" s="17"/>
      <c r="G37" s="17"/>
      <c r="H37" s="17"/>
      <c r="I37" s="17"/>
      <c r="J37" s="17"/>
    </row>
    <row r="38" spans="1:16" ht="14.25" customHeight="1" x14ac:dyDescent="0.2">
      <c r="C38" s="236"/>
      <c r="D38" s="17"/>
      <c r="E38" s="17"/>
      <c r="F38" s="17"/>
      <c r="G38" s="17"/>
      <c r="H38" s="17"/>
      <c r="I38" s="17"/>
      <c r="J38" s="17"/>
    </row>
    <row r="39" spans="1:16" ht="14.25" customHeight="1" x14ac:dyDescent="0.2">
      <c r="D39" s="17"/>
      <c r="E39" s="17"/>
      <c r="F39" s="17"/>
      <c r="G39" s="17"/>
      <c r="H39" s="17"/>
      <c r="I39" s="17"/>
      <c r="J39" s="17"/>
    </row>
    <row r="40" spans="1:16" ht="14.25" customHeight="1" x14ac:dyDescent="0.2">
      <c r="D40" s="237"/>
    </row>
    <row r="41" spans="1:16" ht="14.25" customHeight="1" x14ac:dyDescent="0.2">
      <c r="D41" s="17"/>
      <c r="E41" s="236"/>
      <c r="F41" s="17"/>
      <c r="G41" s="17"/>
      <c r="H41" s="17"/>
      <c r="I41" s="17"/>
      <c r="J41" s="17"/>
    </row>
    <row r="43" spans="1:16" ht="14.25" customHeight="1" x14ac:dyDescent="0.2">
      <c r="D43" s="237"/>
      <c r="F43" s="239"/>
    </row>
    <row r="45" spans="1:16" ht="12.75" x14ac:dyDescent="0.2"/>
    <row r="46" spans="1:16" ht="12.75" x14ac:dyDescent="0.2"/>
    <row r="47" spans="1:16" ht="12.75" x14ac:dyDescent="0.2"/>
  </sheetData>
  <printOptions horizontalCentered="1"/>
  <pageMargins left="0" right="0" top="0.39370078740157483" bottom="0.39370078740157483" header="0.19685039370078741" footer="0.19685039370078741"/>
  <pageSetup paperSize="9" scale="74" orientation="landscape"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7:P48"/>
  <sheetViews>
    <sheetView zoomScale="90" zoomScaleNormal="90" workbookViewId="0">
      <selection activeCell="F32" sqref="F32"/>
    </sheetView>
  </sheetViews>
  <sheetFormatPr defaultColWidth="9.140625" defaultRowHeight="14.25" customHeight="1" x14ac:dyDescent="0.2"/>
  <cols>
    <col min="1" max="1" width="2.85546875" style="8" customWidth="1"/>
    <col min="2" max="2" width="78" style="16" customWidth="1"/>
    <col min="3" max="3" width="9.85546875" style="17" customWidth="1"/>
    <col min="4" max="4" width="9.85546875" style="18" customWidth="1"/>
    <col min="5" max="5" width="9.85546875" style="19" customWidth="1"/>
    <col min="6" max="6" width="9.85546875" style="20" customWidth="1"/>
    <col min="7" max="7" width="10.85546875" style="21" customWidth="1"/>
    <col min="8" max="8" width="10" style="8" customWidth="1"/>
    <col min="9" max="12" width="9.85546875" style="8" customWidth="1"/>
    <col min="13" max="13" width="2.85546875" style="8" customWidth="1"/>
    <col min="14" max="16384" width="9.140625" style="8"/>
  </cols>
  <sheetData>
    <row r="7" spans="1:13" ht="14.25" customHeight="1" x14ac:dyDescent="0.2">
      <c r="I7" s="184" t="s">
        <v>97</v>
      </c>
    </row>
    <row r="8" spans="1:13" ht="14.25" customHeight="1" x14ac:dyDescent="0.2">
      <c r="F8" s="20" t="s">
        <v>97</v>
      </c>
      <c r="G8" s="21" t="s">
        <v>97</v>
      </c>
    </row>
    <row r="9" spans="1:13" ht="15" customHeight="1" x14ac:dyDescent="0.2">
      <c r="A9" s="1"/>
      <c r="B9" s="22"/>
      <c r="C9" s="23"/>
      <c r="D9" s="24"/>
      <c r="E9" s="25"/>
      <c r="F9" s="26"/>
      <c r="G9" s="27"/>
      <c r="H9" s="1"/>
      <c r="I9" s="1"/>
      <c r="J9" s="1"/>
      <c r="K9" s="1"/>
      <c r="L9" s="1"/>
      <c r="M9" s="1"/>
    </row>
    <row r="10" spans="1:13" ht="18.75" customHeight="1" x14ac:dyDescent="0.25">
      <c r="A10" s="1"/>
      <c r="B10" s="108" t="s">
        <v>47</v>
      </c>
      <c r="C10" s="109"/>
      <c r="D10" s="110"/>
      <c r="E10" s="111">
        <v>2021</v>
      </c>
      <c r="F10" s="112"/>
      <c r="G10" s="137"/>
      <c r="H10" s="135"/>
      <c r="I10" s="110"/>
      <c r="J10" s="111">
        <v>2020</v>
      </c>
      <c r="K10" s="112"/>
      <c r="L10" s="113"/>
      <c r="M10" s="1"/>
    </row>
    <row r="11" spans="1:13" ht="18.75" customHeight="1" x14ac:dyDescent="0.25">
      <c r="A11" s="1"/>
      <c r="B11" s="108" t="s">
        <v>48</v>
      </c>
      <c r="C11" s="114" t="s">
        <v>21</v>
      </c>
      <c r="D11" s="115" t="s">
        <v>22</v>
      </c>
      <c r="E11" s="116" t="s">
        <v>23</v>
      </c>
      <c r="F11" s="117" t="s">
        <v>24</v>
      </c>
      <c r="G11" s="138" t="s">
        <v>25</v>
      </c>
      <c r="H11" s="136" t="s">
        <v>21</v>
      </c>
      <c r="I11" s="115" t="s">
        <v>22</v>
      </c>
      <c r="J11" s="116" t="s">
        <v>23</v>
      </c>
      <c r="K11" s="117" t="s">
        <v>24</v>
      </c>
      <c r="L11" s="118" t="s">
        <v>25</v>
      </c>
      <c r="M11" s="1"/>
    </row>
    <row r="12" spans="1:13" ht="22.5" customHeight="1" x14ac:dyDescent="0.25">
      <c r="A12" s="1"/>
      <c r="B12" s="104" t="s">
        <v>29</v>
      </c>
      <c r="C12" s="139">
        <f>0.094+1.691</f>
        <v>1.7850000000000001</v>
      </c>
      <c r="D12" s="140">
        <f>3.071+4.698</f>
        <v>7.7690000000000001</v>
      </c>
      <c r="E12" s="231">
        <f>0.445+3.715</f>
        <v>4.16</v>
      </c>
      <c r="F12" s="140">
        <f>0.525+1.822</f>
        <v>2.347</v>
      </c>
      <c r="G12" s="141">
        <f t="shared" ref="G12:G31" si="0">SUM(C12:F12)</f>
        <v>16.061</v>
      </c>
      <c r="H12" s="139">
        <v>2.5110000000000001</v>
      </c>
      <c r="I12" s="140">
        <v>6.0790000000000006</v>
      </c>
      <c r="J12" s="140">
        <v>4.0339999999999998</v>
      </c>
      <c r="K12" s="140">
        <v>1.9589999999999999</v>
      </c>
      <c r="L12" s="142">
        <f t="shared" ref="L12:L31" si="1">SUM(H12:K12)</f>
        <v>14.582999999999998</v>
      </c>
      <c r="M12" s="1"/>
    </row>
    <row r="13" spans="1:13" ht="22.5" customHeight="1" x14ac:dyDescent="0.25">
      <c r="A13" s="1"/>
      <c r="B13" s="104" t="s">
        <v>28</v>
      </c>
      <c r="C13" s="140">
        <f>0.466+6.78</f>
        <v>7.2460000000000004</v>
      </c>
      <c r="D13" s="140">
        <f>4.417+5.591</f>
        <v>10.007999999999999</v>
      </c>
      <c r="E13" s="231">
        <f>0.81+6.346</f>
        <v>7.1560000000000006</v>
      </c>
      <c r="F13" s="140">
        <f>0.722+4.725</f>
        <v>5.4469999999999992</v>
      </c>
      <c r="G13" s="141">
        <f t="shared" si="0"/>
        <v>29.856999999999996</v>
      </c>
      <c r="H13" s="140">
        <v>6.5170000000000003</v>
      </c>
      <c r="I13" s="140">
        <v>10.734999999999999</v>
      </c>
      <c r="J13" s="140">
        <v>6.7959999999999994</v>
      </c>
      <c r="K13" s="140">
        <v>4.3929999999999998</v>
      </c>
      <c r="L13" s="142">
        <f t="shared" si="1"/>
        <v>28.440999999999999</v>
      </c>
      <c r="M13" s="1"/>
    </row>
    <row r="14" spans="1:13" ht="22.5" customHeight="1" x14ac:dyDescent="0.25">
      <c r="A14" s="1"/>
      <c r="B14" s="104" t="s">
        <v>30</v>
      </c>
      <c r="C14" s="140">
        <v>7.3</v>
      </c>
      <c r="D14" s="140">
        <v>8.8279999999999994</v>
      </c>
      <c r="E14" s="231">
        <v>7.2960000000000003</v>
      </c>
      <c r="F14" s="140">
        <v>13.741</v>
      </c>
      <c r="G14" s="141">
        <f t="shared" si="0"/>
        <v>37.164999999999999</v>
      </c>
      <c r="H14" s="140">
        <v>15.063000000000001</v>
      </c>
      <c r="I14" s="140">
        <v>9.1669999999999998</v>
      </c>
      <c r="J14" s="140">
        <v>9.0730000000000004</v>
      </c>
      <c r="K14" s="140">
        <v>8.7140000000000004</v>
      </c>
      <c r="L14" s="142">
        <f t="shared" si="1"/>
        <v>42.016999999999996</v>
      </c>
      <c r="M14" s="1"/>
    </row>
    <row r="15" spans="1:13" ht="22.5" customHeight="1" x14ac:dyDescent="0.25">
      <c r="A15" s="1"/>
      <c r="B15" s="104" t="s">
        <v>31</v>
      </c>
      <c r="C15" s="140">
        <v>4.9139999999999997</v>
      </c>
      <c r="D15" s="140">
        <v>2.4430000000000001</v>
      </c>
      <c r="E15" s="231">
        <v>1.6140000000000001</v>
      </c>
      <c r="F15" s="140">
        <v>3.2839999999999998</v>
      </c>
      <c r="G15" s="141">
        <f t="shared" si="0"/>
        <v>12.254999999999999</v>
      </c>
      <c r="H15" s="140">
        <v>2.9489999999999998</v>
      </c>
      <c r="I15" s="140">
        <v>1.6279999999999999</v>
      </c>
      <c r="J15" s="140">
        <v>3.226</v>
      </c>
      <c r="K15" s="140">
        <v>4.2519999999999998</v>
      </c>
      <c r="L15" s="142">
        <f t="shared" si="1"/>
        <v>12.055</v>
      </c>
      <c r="M15" s="1"/>
    </row>
    <row r="16" spans="1:13" ht="22.5" customHeight="1" x14ac:dyDescent="0.25">
      <c r="A16" s="1"/>
      <c r="B16" s="104" t="s">
        <v>32</v>
      </c>
      <c r="C16" s="140">
        <v>4.0860000000000003</v>
      </c>
      <c r="D16" s="140">
        <v>2.7040000000000002</v>
      </c>
      <c r="E16" s="231">
        <v>2.7040000000000002</v>
      </c>
      <c r="F16" s="140">
        <v>4.29</v>
      </c>
      <c r="G16" s="141">
        <f t="shared" si="0"/>
        <v>13.784000000000002</v>
      </c>
      <c r="H16" s="140">
        <v>4.0330000000000004</v>
      </c>
      <c r="I16" s="140">
        <v>1.9570000000000001</v>
      </c>
      <c r="J16" s="140">
        <v>2.2829999999999999</v>
      </c>
      <c r="K16" s="140">
        <v>2.6640000000000001</v>
      </c>
      <c r="L16" s="142">
        <f t="shared" si="1"/>
        <v>10.936999999999999</v>
      </c>
      <c r="M16" s="1"/>
    </row>
    <row r="17" spans="1:16" ht="22.5" customHeight="1" x14ac:dyDescent="0.25">
      <c r="A17" s="1"/>
      <c r="B17" s="104" t="s">
        <v>33</v>
      </c>
      <c r="C17" s="140">
        <f>0.08</f>
        <v>0.08</v>
      </c>
      <c r="D17" s="140">
        <f>0.051+0.334</f>
        <v>0.38500000000000001</v>
      </c>
      <c r="E17" s="231">
        <f>0.127+0.006</f>
        <v>0.13300000000000001</v>
      </c>
      <c r="F17" s="140">
        <f>0.614+0.014</f>
        <v>0.628</v>
      </c>
      <c r="G17" s="141">
        <f t="shared" si="0"/>
        <v>1.226</v>
      </c>
      <c r="H17" s="140">
        <v>0.129</v>
      </c>
      <c r="I17" s="140">
        <v>0.17699999999999999</v>
      </c>
      <c r="J17" s="140">
        <v>7.400000000000001E-2</v>
      </c>
      <c r="K17" s="140">
        <v>0.09</v>
      </c>
      <c r="L17" s="142">
        <f t="shared" si="1"/>
        <v>0.47</v>
      </c>
      <c r="M17" s="1"/>
    </row>
    <row r="18" spans="1:16" ht="22.5" customHeight="1" x14ac:dyDescent="0.25">
      <c r="A18" s="1"/>
      <c r="B18" s="104" t="s">
        <v>34</v>
      </c>
      <c r="C18" s="140">
        <v>1.631</v>
      </c>
      <c r="D18" s="140">
        <v>0.99299999999999999</v>
      </c>
      <c r="E18" s="231">
        <v>1.091</v>
      </c>
      <c r="F18" s="140">
        <v>0.81399999999999995</v>
      </c>
      <c r="G18" s="141">
        <f t="shared" si="0"/>
        <v>4.5289999999999999</v>
      </c>
      <c r="H18" s="140">
        <v>1.17</v>
      </c>
      <c r="I18" s="140">
        <v>0.95</v>
      </c>
      <c r="J18" s="140">
        <v>1.123</v>
      </c>
      <c r="K18" s="140">
        <v>0.878</v>
      </c>
      <c r="L18" s="142">
        <f t="shared" si="1"/>
        <v>4.1210000000000004</v>
      </c>
      <c r="M18" s="1"/>
    </row>
    <row r="19" spans="1:16" ht="22.5" customHeight="1" x14ac:dyDescent="0.25">
      <c r="A19" s="1"/>
      <c r="B19" s="104" t="s">
        <v>35</v>
      </c>
      <c r="C19" s="140">
        <v>8.3580000000000005</v>
      </c>
      <c r="D19" s="140">
        <v>11.866</v>
      </c>
      <c r="E19" s="231">
        <v>8.2590000000000003</v>
      </c>
      <c r="F19" s="140">
        <v>10.45</v>
      </c>
      <c r="G19" s="141">
        <f t="shared" si="0"/>
        <v>38.933</v>
      </c>
      <c r="H19" s="140">
        <v>20.843</v>
      </c>
      <c r="I19" s="140">
        <v>14.589</v>
      </c>
      <c r="J19" s="140">
        <v>16.672000000000001</v>
      </c>
      <c r="K19" s="140">
        <v>19.95</v>
      </c>
      <c r="L19" s="142">
        <f t="shared" si="1"/>
        <v>72.054000000000002</v>
      </c>
      <c r="M19" s="1"/>
    </row>
    <row r="20" spans="1:16" ht="22.5" customHeight="1" x14ac:dyDescent="0.25">
      <c r="A20" s="1"/>
      <c r="B20" s="104" t="s">
        <v>36</v>
      </c>
      <c r="C20" s="140">
        <v>4.1000000000000002E-2</v>
      </c>
      <c r="D20" s="140">
        <v>0.128</v>
      </c>
      <c r="E20" s="231">
        <v>8.6999999999999994E-2</v>
      </c>
      <c r="F20" s="140">
        <v>0.04</v>
      </c>
      <c r="G20" s="141">
        <f t="shared" si="0"/>
        <v>0.29599999999999999</v>
      </c>
      <c r="H20" s="140">
        <v>0.48299999999999998</v>
      </c>
      <c r="I20" s="140">
        <v>0.26</v>
      </c>
      <c r="J20" s="140">
        <v>0.29899999999999999</v>
      </c>
      <c r="K20" s="140">
        <v>0.42699999999999999</v>
      </c>
      <c r="L20" s="142">
        <f t="shared" si="1"/>
        <v>1.4690000000000001</v>
      </c>
      <c r="M20" s="1"/>
    </row>
    <row r="21" spans="1:16" ht="22.5" customHeight="1" x14ac:dyDescent="0.25">
      <c r="A21" s="1"/>
      <c r="B21" s="104" t="s">
        <v>37</v>
      </c>
      <c r="C21" s="140">
        <v>0</v>
      </c>
      <c r="D21" s="140">
        <v>0</v>
      </c>
      <c r="E21" s="231">
        <v>0</v>
      </c>
      <c r="F21" s="140">
        <v>0</v>
      </c>
      <c r="G21" s="141">
        <f t="shared" si="0"/>
        <v>0</v>
      </c>
      <c r="H21" s="140">
        <v>0</v>
      </c>
      <c r="I21" s="140">
        <v>0</v>
      </c>
      <c r="J21" s="140">
        <v>0</v>
      </c>
      <c r="K21" s="140">
        <v>0</v>
      </c>
      <c r="L21" s="142">
        <f t="shared" si="1"/>
        <v>0</v>
      </c>
      <c r="M21" s="1"/>
    </row>
    <row r="22" spans="1:16" ht="22.5" customHeight="1" x14ac:dyDescent="0.25">
      <c r="A22" s="1"/>
      <c r="B22" s="104" t="s">
        <v>39</v>
      </c>
      <c r="C22" s="140">
        <f>0.111+0.001</f>
        <v>0.112</v>
      </c>
      <c r="D22" s="140">
        <v>6.5000000000000002E-2</v>
      </c>
      <c r="E22" s="231">
        <f>0.051+0.016</f>
        <v>6.7000000000000004E-2</v>
      </c>
      <c r="F22" s="140">
        <v>5.8000000000000003E-2</v>
      </c>
      <c r="G22" s="141">
        <f t="shared" si="0"/>
        <v>0.30199999999999999</v>
      </c>
      <c r="H22" s="140">
        <v>7.6999999999999999E-2</v>
      </c>
      <c r="I22" s="140">
        <v>0.06</v>
      </c>
      <c r="J22" s="140">
        <v>4.4999999999999998E-2</v>
      </c>
      <c r="K22" s="140">
        <v>8.2000000000000003E-2</v>
      </c>
      <c r="L22" s="142">
        <f t="shared" si="1"/>
        <v>0.26400000000000001</v>
      </c>
      <c r="M22" s="1"/>
    </row>
    <row r="23" spans="1:16" ht="22.5" customHeight="1" x14ac:dyDescent="0.25">
      <c r="A23" s="1"/>
      <c r="B23" s="104" t="s">
        <v>40</v>
      </c>
      <c r="C23" s="140">
        <v>0</v>
      </c>
      <c r="D23" s="140">
        <v>0</v>
      </c>
      <c r="E23" s="231">
        <v>0</v>
      </c>
      <c r="F23" s="140">
        <v>0</v>
      </c>
      <c r="G23" s="141">
        <f t="shared" si="0"/>
        <v>0</v>
      </c>
      <c r="H23" s="140">
        <v>0</v>
      </c>
      <c r="I23" s="140">
        <v>0</v>
      </c>
      <c r="J23" s="140">
        <v>0</v>
      </c>
      <c r="K23" s="140">
        <v>0</v>
      </c>
      <c r="L23" s="142">
        <f t="shared" si="1"/>
        <v>0</v>
      </c>
      <c r="M23" s="1"/>
    </row>
    <row r="24" spans="1:16" ht="22.5" customHeight="1" x14ac:dyDescent="0.25">
      <c r="A24" s="1"/>
      <c r="B24" s="104" t="s">
        <v>41</v>
      </c>
      <c r="C24" s="140">
        <v>9.1999999999999998E-2</v>
      </c>
      <c r="D24" s="140">
        <v>3.4000000000000002E-2</v>
      </c>
      <c r="E24" s="231">
        <v>0</v>
      </c>
      <c r="F24" s="140">
        <v>0.01</v>
      </c>
      <c r="G24" s="141">
        <f t="shared" si="0"/>
        <v>0.13600000000000001</v>
      </c>
      <c r="H24" s="140">
        <v>9.1999999999999998E-2</v>
      </c>
      <c r="I24" s="140">
        <v>5.3999999999999999E-2</v>
      </c>
      <c r="J24" s="140">
        <v>2.5000000000000001E-2</v>
      </c>
      <c r="K24" s="140">
        <v>0.01</v>
      </c>
      <c r="L24" s="142">
        <f t="shared" si="1"/>
        <v>0.18099999999999999</v>
      </c>
      <c r="M24" s="1"/>
    </row>
    <row r="25" spans="1:16" ht="22.5" customHeight="1" x14ac:dyDescent="0.25">
      <c r="A25" s="1"/>
      <c r="B25" s="104" t="s">
        <v>42</v>
      </c>
      <c r="C25" s="140">
        <v>2.919</v>
      </c>
      <c r="D25" s="140">
        <v>1.117</v>
      </c>
      <c r="E25" s="231">
        <v>0.91300000000000003</v>
      </c>
      <c r="F25" s="140">
        <v>1.6559999999999999</v>
      </c>
      <c r="G25" s="141">
        <f t="shared" si="0"/>
        <v>6.6049999999999995</v>
      </c>
      <c r="H25" s="140">
        <v>1.304</v>
      </c>
      <c r="I25" s="140">
        <v>1.141</v>
      </c>
      <c r="J25" s="140">
        <v>0.88400000000000001</v>
      </c>
      <c r="K25" s="140">
        <v>1.643</v>
      </c>
      <c r="L25" s="142">
        <f t="shared" si="1"/>
        <v>4.9720000000000004</v>
      </c>
      <c r="M25" s="1"/>
      <c r="N25" s="184"/>
      <c r="P25" s="173"/>
    </row>
    <row r="26" spans="1:16" ht="22.5" customHeight="1" x14ac:dyDescent="0.25">
      <c r="A26" s="1"/>
      <c r="B26" s="104" t="s">
        <v>43</v>
      </c>
      <c r="C26" s="140">
        <v>0.48099999999999998</v>
      </c>
      <c r="D26" s="140">
        <v>0.54700000000000004</v>
      </c>
      <c r="E26" s="231">
        <v>0.45500000000000002</v>
      </c>
      <c r="F26" s="140">
        <v>0.622</v>
      </c>
      <c r="G26" s="141">
        <f t="shared" si="0"/>
        <v>2.105</v>
      </c>
      <c r="H26" s="140">
        <v>0.65700000000000003</v>
      </c>
      <c r="I26" s="140">
        <v>0.35099999999999998</v>
      </c>
      <c r="J26" s="140">
        <v>0.46200000000000002</v>
      </c>
      <c r="K26" s="140">
        <v>0.65200000000000002</v>
      </c>
      <c r="L26" s="142">
        <f t="shared" si="1"/>
        <v>2.1219999999999999</v>
      </c>
      <c r="M26" s="1"/>
      <c r="O26" s="184"/>
    </row>
    <row r="27" spans="1:16" ht="22.5" customHeight="1" x14ac:dyDescent="0.25">
      <c r="A27" s="1"/>
      <c r="B27" s="104" t="s">
        <v>49</v>
      </c>
      <c r="C27" s="140">
        <f>0.01+2.919</f>
        <v>2.9289999999999998</v>
      </c>
      <c r="D27" s="140">
        <v>1.284</v>
      </c>
      <c r="E27" s="231">
        <v>0.88300000000000001</v>
      </c>
      <c r="F27" s="140">
        <f>0.025+1.892</f>
        <v>1.9169999999999998</v>
      </c>
      <c r="G27" s="141">
        <f t="shared" si="0"/>
        <v>7.0129999999999999</v>
      </c>
      <c r="H27" s="140">
        <v>2.0700000000000003</v>
      </c>
      <c r="I27" s="140">
        <v>1.3809999999999998</v>
      </c>
      <c r="J27" s="140">
        <v>1.5149999999999999</v>
      </c>
      <c r="K27" s="140">
        <v>1.8099999999999998</v>
      </c>
      <c r="L27" s="142">
        <f t="shared" si="1"/>
        <v>6.7759999999999998</v>
      </c>
      <c r="M27" s="1"/>
      <c r="P27" s="173"/>
    </row>
    <row r="28" spans="1:16" ht="22.5" customHeight="1" x14ac:dyDescent="0.25">
      <c r="A28" s="1"/>
      <c r="B28" s="105" t="s">
        <v>44</v>
      </c>
      <c r="C28" s="140">
        <v>0.88300000000000001</v>
      </c>
      <c r="D28" s="140">
        <v>0.76700000000000002</v>
      </c>
      <c r="E28" s="231">
        <v>0.53700000000000003</v>
      </c>
      <c r="F28" s="140">
        <v>0.77700000000000002</v>
      </c>
      <c r="G28" s="141">
        <f t="shared" si="0"/>
        <v>2.964</v>
      </c>
      <c r="H28" s="140">
        <v>0.36399999999999999</v>
      </c>
      <c r="I28" s="140">
        <v>0.52700000000000002</v>
      </c>
      <c r="J28" s="140">
        <v>0.63500000000000001</v>
      </c>
      <c r="K28" s="140">
        <v>0.97499999999999998</v>
      </c>
      <c r="L28" s="142">
        <f t="shared" si="1"/>
        <v>2.5009999999999999</v>
      </c>
      <c r="M28" s="1"/>
      <c r="P28" s="210"/>
    </row>
    <row r="29" spans="1:16" ht="22.5" customHeight="1" x14ac:dyDescent="0.25">
      <c r="A29" s="1"/>
      <c r="B29" s="207" t="s">
        <v>99</v>
      </c>
      <c r="C29" s="140">
        <v>5.2729999999999997</v>
      </c>
      <c r="D29" s="140">
        <v>1.458</v>
      </c>
      <c r="E29" s="231">
        <v>5.0739999999999998</v>
      </c>
      <c r="F29" s="140">
        <v>4.4539999999999997</v>
      </c>
      <c r="G29" s="141">
        <f t="shared" si="0"/>
        <v>16.259</v>
      </c>
      <c r="H29" s="140"/>
      <c r="I29" s="140"/>
      <c r="J29" s="140"/>
      <c r="K29" s="140"/>
      <c r="L29" s="142"/>
      <c r="M29" s="1"/>
      <c r="P29" s="173"/>
    </row>
    <row r="30" spans="1:16" ht="22.5" customHeight="1" x14ac:dyDescent="0.25">
      <c r="A30" s="1"/>
      <c r="B30" s="207" t="s">
        <v>100</v>
      </c>
      <c r="C30" s="140">
        <v>6.5000000000000002E-2</v>
      </c>
      <c r="D30" s="140">
        <v>5.7000000000000002E-2</v>
      </c>
      <c r="E30" s="231">
        <v>0.151</v>
      </c>
      <c r="F30" s="140">
        <v>0</v>
      </c>
      <c r="G30" s="141">
        <f t="shared" si="0"/>
        <v>0.27300000000000002</v>
      </c>
      <c r="H30" s="140"/>
      <c r="I30" s="140"/>
      <c r="J30" s="140"/>
      <c r="K30" s="140"/>
      <c r="L30" s="142"/>
      <c r="M30" s="1"/>
      <c r="P30" s="173"/>
    </row>
    <row r="31" spans="1:16" ht="22.5" customHeight="1" x14ac:dyDescent="0.25">
      <c r="A31" s="1"/>
      <c r="B31" s="104" t="s">
        <v>45</v>
      </c>
      <c r="C31" s="140">
        <f>0.578+0.027</f>
        <v>0.60499999999999998</v>
      </c>
      <c r="D31" s="140">
        <f>0.529+0.029</f>
        <v>0.55800000000000005</v>
      </c>
      <c r="E31" s="231">
        <f>0.362+0.087</f>
        <v>0.44899999999999995</v>
      </c>
      <c r="F31" s="140">
        <f>0.402+0.02</f>
        <v>0.42200000000000004</v>
      </c>
      <c r="G31" s="141">
        <f t="shared" si="0"/>
        <v>2.0340000000000003</v>
      </c>
      <c r="H31" s="140">
        <v>1.992</v>
      </c>
      <c r="I31" s="140">
        <v>0.78300000000000003</v>
      </c>
      <c r="J31" s="140">
        <v>0.49399999999999999</v>
      </c>
      <c r="K31" s="140">
        <v>0.52700000000000002</v>
      </c>
      <c r="L31" s="142">
        <f t="shared" si="1"/>
        <v>3.7960000000000003</v>
      </c>
      <c r="M31" s="1"/>
    </row>
    <row r="32" spans="1:16" ht="22.5" customHeight="1" x14ac:dyDescent="0.25">
      <c r="A32" s="1"/>
      <c r="B32" s="106" t="s">
        <v>88</v>
      </c>
      <c r="C32" s="170">
        <f>SUM(C12:C31)</f>
        <v>48.79999999999999</v>
      </c>
      <c r="D32" s="170">
        <f t="shared" ref="D32:F32" si="2">SUM(D12:D31)</f>
        <v>51.010999999999996</v>
      </c>
      <c r="E32" s="170">
        <f t="shared" si="2"/>
        <v>41.029000000000003</v>
      </c>
      <c r="F32" s="170">
        <f t="shared" si="2"/>
        <v>50.956999999999987</v>
      </c>
      <c r="G32" s="143">
        <f>SUM(G12:G31)</f>
        <v>191.79699999999994</v>
      </c>
      <c r="H32" s="143">
        <f t="shared" ref="H32:K32" si="3">SUM(H12:H31)</f>
        <v>60.253999999999998</v>
      </c>
      <c r="I32" s="143">
        <f t="shared" si="3"/>
        <v>49.839000000000006</v>
      </c>
      <c r="J32" s="143">
        <f t="shared" si="3"/>
        <v>47.640000000000008</v>
      </c>
      <c r="K32" s="143">
        <f t="shared" si="3"/>
        <v>49.026000000000003</v>
      </c>
      <c r="L32" s="144">
        <f>SUM(L12:L31)</f>
        <v>206.75900000000004</v>
      </c>
      <c r="M32" s="1"/>
      <c r="P32" s="173"/>
    </row>
    <row r="33" spans="1:13" ht="14.25" customHeight="1" x14ac:dyDescent="0.25">
      <c r="A33" s="1"/>
      <c r="B33" s="119"/>
      <c r="C33" s="120"/>
      <c r="D33" s="121"/>
      <c r="E33" s="122"/>
      <c r="F33" s="123"/>
      <c r="G33" s="124"/>
      <c r="H33" s="1"/>
      <c r="I33" s="1"/>
      <c r="J33" s="1"/>
      <c r="K33" s="1"/>
      <c r="L33" s="1"/>
      <c r="M33" s="1"/>
    </row>
    <row r="34" spans="1:13" ht="8.25" customHeight="1" x14ac:dyDescent="0.25">
      <c r="A34" s="128"/>
      <c r="B34" s="129"/>
      <c r="C34" s="130"/>
      <c r="D34" s="131"/>
      <c r="E34" s="132"/>
      <c r="F34" s="133"/>
      <c r="G34" s="134"/>
      <c r="H34" s="128"/>
      <c r="I34" s="128"/>
      <c r="J34" s="128"/>
      <c r="K34" s="128"/>
      <c r="L34" s="128"/>
      <c r="M34" s="128"/>
    </row>
    <row r="35" spans="1:13" ht="14.25" customHeight="1" x14ac:dyDescent="0.25">
      <c r="B35" s="107" t="s">
        <v>46</v>
      </c>
      <c r="C35" s="125"/>
      <c r="D35" s="177"/>
      <c r="E35" s="177"/>
      <c r="F35" s="125"/>
      <c r="G35" s="126"/>
      <c r="J35" s="174"/>
      <c r="K35" s="174"/>
      <c r="L35" s="174"/>
    </row>
    <row r="36" spans="1:13" ht="14.25" customHeight="1" x14ac:dyDescent="0.25">
      <c r="B36" s="107"/>
      <c r="C36" s="236"/>
      <c r="D36" s="178"/>
      <c r="E36" s="179"/>
      <c r="F36" s="139"/>
      <c r="G36" s="126"/>
      <c r="I36" s="173"/>
      <c r="J36" s="174"/>
      <c r="K36" s="175"/>
      <c r="L36" s="174"/>
    </row>
    <row r="37" spans="1:13" ht="14.25" customHeight="1" x14ac:dyDescent="0.25">
      <c r="B37" s="107" t="s">
        <v>50</v>
      </c>
      <c r="C37" s="242"/>
      <c r="D37" s="180"/>
      <c r="E37" s="233"/>
      <c r="F37" s="127"/>
      <c r="G37" s="126"/>
      <c r="J37" s="174"/>
      <c r="K37" s="174"/>
      <c r="L37" s="174"/>
    </row>
    <row r="38" spans="1:13" ht="14.25" customHeight="1" x14ac:dyDescent="0.2">
      <c r="D38" s="176"/>
      <c r="E38" s="176"/>
      <c r="F38" s="17"/>
      <c r="G38" s="17"/>
      <c r="H38" s="17"/>
      <c r="I38" s="17"/>
      <c r="J38" s="176"/>
      <c r="K38" s="174"/>
      <c r="L38" s="174"/>
    </row>
    <row r="39" spans="1:13" ht="14.25" customHeight="1" x14ac:dyDescent="0.2">
      <c r="D39" s="17"/>
      <c r="E39" s="17"/>
      <c r="F39" s="17"/>
      <c r="G39" s="17"/>
      <c r="H39" s="17"/>
      <c r="I39" s="17"/>
      <c r="J39" s="17"/>
    </row>
    <row r="40" spans="1:13" ht="14.25" customHeight="1" x14ac:dyDescent="0.2">
      <c r="C40" s="236"/>
      <c r="D40" s="17"/>
      <c r="E40" s="17"/>
      <c r="F40" s="17"/>
      <c r="G40" s="17"/>
      <c r="H40" s="17"/>
      <c r="I40" s="17"/>
      <c r="J40" s="17"/>
    </row>
    <row r="42" spans="1:13" ht="14.25" customHeight="1" x14ac:dyDescent="0.2">
      <c r="D42" s="237"/>
    </row>
    <row r="44" spans="1:13" ht="14.25" customHeight="1" x14ac:dyDescent="0.2">
      <c r="D44" s="237"/>
    </row>
    <row r="46" spans="1:13" ht="12.75" x14ac:dyDescent="0.2"/>
    <row r="47" spans="1:13" ht="12.75" x14ac:dyDescent="0.2"/>
    <row r="48" spans="1:13" ht="12.75" x14ac:dyDescent="0.2"/>
  </sheetData>
  <phoneticPr fontId="0" type="noConversion"/>
  <printOptions horizontalCentered="1"/>
  <pageMargins left="0" right="0" top="0.39370078740157483" bottom="0.39370078740157483" header="0.19685039370078741" footer="0.19685039370078741"/>
  <pageSetup paperSize="9" scale="70"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B45"/>
  <sheetViews>
    <sheetView showGridLines="0" topLeftCell="A7" zoomScale="75" zoomScaleNormal="75" zoomScaleSheetLayoutView="75" workbookViewId="0">
      <selection activeCell="AI15" sqref="AI15"/>
    </sheetView>
  </sheetViews>
  <sheetFormatPr defaultColWidth="9.140625" defaultRowHeight="12.75" x14ac:dyDescent="0.2"/>
  <cols>
    <col min="1" max="2" width="2.85546875" style="216" customWidth="1"/>
    <col min="3" max="5" width="5.85546875" style="216" customWidth="1"/>
    <col min="6" max="6" width="5.42578125" style="216" customWidth="1"/>
    <col min="7" max="10" width="5.85546875" style="216" customWidth="1"/>
    <col min="11" max="11" width="2.85546875" style="216" customWidth="1"/>
    <col min="12" max="12" width="7.5703125" style="216" customWidth="1"/>
    <col min="13" max="15" width="5.85546875" style="216" customWidth="1"/>
    <col min="16" max="16" width="7.85546875" style="216" customWidth="1"/>
    <col min="17" max="52" width="5.85546875" style="216" customWidth="1"/>
    <col min="53" max="16384" width="9.140625" style="216"/>
  </cols>
  <sheetData>
    <row r="1" spans="2:28" ht="36" x14ac:dyDescent="0.3">
      <c r="B1" s="212" t="s">
        <v>91</v>
      </c>
      <c r="C1" s="213"/>
      <c r="D1" s="213"/>
      <c r="E1" s="213"/>
      <c r="F1" s="213"/>
      <c r="G1" s="213"/>
      <c r="H1" s="213"/>
      <c r="I1" s="213"/>
      <c r="J1" s="213"/>
      <c r="K1" s="213"/>
      <c r="L1" s="213"/>
      <c r="M1" s="213"/>
      <c r="N1" s="213"/>
      <c r="O1" s="213"/>
      <c r="P1" s="213"/>
      <c r="Q1" s="213"/>
      <c r="R1" s="213"/>
      <c r="S1" s="213"/>
      <c r="T1" s="214"/>
      <c r="U1" s="214"/>
      <c r="V1" s="214"/>
      <c r="W1" s="214"/>
      <c r="X1" s="214"/>
      <c r="Y1" s="214"/>
      <c r="Z1" s="214"/>
      <c r="AA1" s="214"/>
      <c r="AB1" s="215"/>
    </row>
    <row r="2" spans="2:28" x14ac:dyDescent="0.2">
      <c r="B2" s="217"/>
      <c r="C2" s="217"/>
      <c r="D2" s="217"/>
      <c r="E2" s="217"/>
      <c r="F2" s="217"/>
      <c r="G2" s="217"/>
      <c r="H2" s="217"/>
      <c r="I2" s="217"/>
      <c r="J2" s="217"/>
      <c r="K2" s="217"/>
      <c r="L2" s="217"/>
      <c r="M2" s="217"/>
      <c r="N2" s="217"/>
      <c r="O2" s="217"/>
      <c r="P2" s="217"/>
      <c r="Q2" s="217"/>
      <c r="R2" s="217"/>
      <c r="S2" s="217"/>
      <c r="T2" s="215"/>
      <c r="U2" s="215"/>
      <c r="V2" s="215"/>
      <c r="W2" s="215"/>
      <c r="X2" s="215"/>
      <c r="Y2" s="215"/>
      <c r="Z2" s="215"/>
      <c r="AA2" s="215"/>
      <c r="AB2" s="215"/>
    </row>
    <row r="3" spans="2:28" x14ac:dyDescent="0.2">
      <c r="B3" s="218"/>
      <c r="C3" s="218"/>
      <c r="D3" s="218"/>
      <c r="E3" s="218"/>
      <c r="F3" s="218"/>
      <c r="G3" s="218"/>
      <c r="H3" s="218"/>
      <c r="I3" s="218"/>
      <c r="J3" s="218"/>
      <c r="K3" s="218"/>
      <c r="L3" s="218"/>
      <c r="M3" s="218"/>
      <c r="N3" s="218"/>
      <c r="O3" s="218"/>
      <c r="P3" s="218"/>
      <c r="Q3" s="218"/>
      <c r="R3" s="218"/>
      <c r="S3" s="218"/>
    </row>
    <row r="4" spans="2:28" x14ac:dyDescent="0.2">
      <c r="B4" s="218"/>
      <c r="C4" s="218"/>
      <c r="D4" s="218"/>
      <c r="E4" s="218"/>
      <c r="F4" s="218"/>
      <c r="G4" s="218"/>
      <c r="H4" s="218"/>
      <c r="I4" s="218"/>
      <c r="J4" s="218"/>
      <c r="K4" s="218"/>
      <c r="L4" s="218"/>
      <c r="M4" s="218"/>
      <c r="N4" s="218"/>
      <c r="O4" s="218"/>
      <c r="P4" s="218"/>
      <c r="Q4" s="218"/>
      <c r="R4" s="218"/>
      <c r="S4" s="218"/>
    </row>
    <row r="5" spans="2:28" x14ac:dyDescent="0.2">
      <c r="B5" s="218"/>
      <c r="C5" s="218"/>
      <c r="D5" s="218"/>
      <c r="E5" s="218"/>
      <c r="F5" s="218"/>
      <c r="G5" s="218"/>
      <c r="H5" s="218"/>
      <c r="I5" s="218"/>
      <c r="J5" s="218"/>
      <c r="K5" s="218"/>
      <c r="L5" s="218"/>
      <c r="M5" s="218"/>
      <c r="N5" s="218"/>
      <c r="O5" s="218"/>
      <c r="P5" s="218"/>
      <c r="Q5" s="218"/>
      <c r="R5" s="218"/>
      <c r="S5" s="218"/>
    </row>
    <row r="6" spans="2:28" x14ac:dyDescent="0.2">
      <c r="B6" s="218"/>
      <c r="C6" s="218"/>
      <c r="D6" s="218"/>
      <c r="E6" s="218"/>
      <c r="F6" s="218"/>
      <c r="G6" s="218"/>
      <c r="H6" s="218"/>
      <c r="I6" s="218"/>
      <c r="J6" s="218"/>
      <c r="K6" s="218"/>
      <c r="L6" s="218"/>
      <c r="M6" s="218"/>
      <c r="N6" s="218"/>
      <c r="O6" s="218"/>
      <c r="P6" s="218"/>
      <c r="Q6" s="218"/>
      <c r="R6" s="218"/>
      <c r="S6" s="218"/>
    </row>
    <row r="7" spans="2:28" x14ac:dyDescent="0.2">
      <c r="B7" s="218"/>
      <c r="C7" s="218"/>
      <c r="D7" s="218"/>
      <c r="E7" s="218"/>
      <c r="F7" s="218"/>
      <c r="G7" s="218"/>
      <c r="H7" s="218"/>
      <c r="I7" s="218"/>
      <c r="J7" s="218"/>
      <c r="K7" s="218"/>
      <c r="L7" s="218"/>
      <c r="M7" s="218"/>
      <c r="N7" s="218"/>
      <c r="O7" s="218"/>
      <c r="P7" s="218"/>
      <c r="Q7" s="218"/>
      <c r="R7" s="218"/>
      <c r="S7" s="218"/>
    </row>
    <row r="8" spans="2:28" x14ac:dyDescent="0.2">
      <c r="B8" s="218"/>
      <c r="C8" s="218"/>
      <c r="D8" s="218"/>
      <c r="E8" s="218"/>
      <c r="F8" s="218"/>
      <c r="G8" s="218"/>
      <c r="H8" s="218"/>
      <c r="I8" s="218"/>
      <c r="J8" s="218"/>
      <c r="K8" s="218"/>
      <c r="L8" s="218"/>
      <c r="M8" s="218"/>
      <c r="N8" s="218"/>
      <c r="O8" s="218"/>
      <c r="P8" s="218"/>
      <c r="Q8" s="218"/>
      <c r="R8" s="218"/>
      <c r="S8" s="218"/>
    </row>
    <row r="9" spans="2:28" x14ac:dyDescent="0.2">
      <c r="B9" s="218"/>
      <c r="C9" s="218"/>
      <c r="D9" s="218"/>
      <c r="E9" s="218"/>
      <c r="F9" s="218"/>
      <c r="G9" s="218"/>
      <c r="H9" s="218"/>
      <c r="I9" s="218"/>
      <c r="J9" s="218"/>
      <c r="K9" s="218"/>
      <c r="L9" s="218"/>
      <c r="M9" s="218"/>
      <c r="N9" s="218"/>
      <c r="O9" s="218"/>
      <c r="P9" s="218"/>
      <c r="Q9" s="218"/>
      <c r="R9" s="218"/>
      <c r="S9" s="218"/>
    </row>
    <row r="10" spans="2:28" x14ac:dyDescent="0.2">
      <c r="B10" s="218"/>
      <c r="C10" s="218"/>
      <c r="D10" s="218"/>
      <c r="E10" s="218"/>
      <c r="F10" s="218"/>
      <c r="G10" s="218"/>
      <c r="H10" s="218"/>
      <c r="I10" s="218"/>
      <c r="J10" s="218"/>
      <c r="K10" s="218"/>
      <c r="L10" s="218"/>
      <c r="M10" s="218"/>
      <c r="N10" s="218"/>
      <c r="O10" s="218"/>
      <c r="P10" s="218"/>
      <c r="Q10" s="218"/>
      <c r="R10" s="218"/>
      <c r="S10" s="218"/>
    </row>
    <row r="11" spans="2:28" x14ac:dyDescent="0.2">
      <c r="B11" s="218"/>
      <c r="C11" s="218"/>
      <c r="D11" s="218"/>
      <c r="E11" s="218"/>
      <c r="F11" s="218"/>
      <c r="G11" s="218"/>
      <c r="H11" s="218"/>
      <c r="I11" s="218"/>
      <c r="J11" s="218"/>
      <c r="K11" s="218"/>
      <c r="L11" s="218"/>
      <c r="M11" s="218"/>
      <c r="N11" s="218"/>
      <c r="O11" s="218"/>
      <c r="P11" s="218"/>
      <c r="Q11" s="218"/>
      <c r="R11" s="218"/>
      <c r="S11" s="218"/>
    </row>
    <row r="12" spans="2:28" x14ac:dyDescent="0.2">
      <c r="B12" s="218"/>
      <c r="C12" s="218"/>
      <c r="D12" s="218"/>
      <c r="E12" s="218"/>
      <c r="F12" s="218"/>
      <c r="G12" s="218"/>
      <c r="H12" s="218"/>
      <c r="I12" s="218"/>
      <c r="J12" s="218"/>
      <c r="K12" s="218"/>
      <c r="L12" s="218"/>
      <c r="M12" s="218"/>
      <c r="N12" s="218"/>
      <c r="O12" s="218"/>
      <c r="P12" s="218"/>
      <c r="Q12" s="218"/>
      <c r="R12" s="218"/>
      <c r="S12" s="218"/>
    </row>
    <row r="13" spans="2:28" x14ac:dyDescent="0.2">
      <c r="B13" s="218"/>
      <c r="C13" s="218"/>
      <c r="D13" s="218"/>
      <c r="E13" s="218"/>
      <c r="F13" s="218"/>
      <c r="G13" s="218"/>
      <c r="H13" s="218"/>
      <c r="I13" s="218"/>
      <c r="J13" s="218"/>
      <c r="K13" s="218"/>
      <c r="L13" s="218"/>
      <c r="M13" s="218"/>
      <c r="N13" s="218"/>
      <c r="O13" s="218"/>
      <c r="P13" s="218"/>
      <c r="Q13" s="218"/>
      <c r="R13" s="218"/>
      <c r="S13" s="218"/>
    </row>
    <row r="14" spans="2:28" x14ac:dyDescent="0.2">
      <c r="B14" s="218"/>
      <c r="C14" s="218"/>
      <c r="D14" s="218"/>
      <c r="E14" s="218"/>
      <c r="F14" s="218"/>
      <c r="G14" s="218"/>
      <c r="H14" s="218"/>
      <c r="I14" s="218"/>
      <c r="J14" s="218"/>
      <c r="K14" s="218"/>
      <c r="L14" s="218"/>
      <c r="M14" s="218"/>
      <c r="N14" s="218"/>
      <c r="O14" s="218"/>
      <c r="P14" s="218"/>
      <c r="Q14" s="218"/>
      <c r="R14" s="218"/>
      <c r="S14" s="218"/>
    </row>
    <row r="15" spans="2:28" x14ac:dyDescent="0.2">
      <c r="B15" s="218"/>
      <c r="C15" s="218"/>
      <c r="D15" s="218"/>
      <c r="E15" s="218"/>
      <c r="F15" s="218"/>
      <c r="G15" s="218"/>
      <c r="H15" s="218"/>
      <c r="I15" s="218"/>
      <c r="J15" s="218"/>
      <c r="K15" s="218"/>
      <c r="L15" s="218"/>
      <c r="M15" s="218"/>
      <c r="N15" s="218"/>
      <c r="O15" s="218"/>
      <c r="P15" s="218"/>
      <c r="Q15" s="218"/>
      <c r="R15" s="218"/>
      <c r="S15" s="218"/>
    </row>
    <row r="16" spans="2:28" x14ac:dyDescent="0.2">
      <c r="B16" s="218"/>
      <c r="C16" s="218"/>
      <c r="D16" s="218"/>
      <c r="E16" s="218"/>
      <c r="F16" s="218"/>
      <c r="G16" s="218"/>
      <c r="H16" s="218"/>
      <c r="I16" s="218"/>
      <c r="J16" s="218"/>
      <c r="K16" s="218"/>
      <c r="L16" s="218"/>
      <c r="M16" s="218"/>
      <c r="N16" s="218"/>
      <c r="O16" s="218"/>
      <c r="P16" s="218"/>
      <c r="Q16" s="218"/>
      <c r="R16" s="218"/>
      <c r="S16" s="218"/>
    </row>
    <row r="17" spans="2:19" x14ac:dyDescent="0.2">
      <c r="B17" s="218"/>
      <c r="C17" s="218"/>
      <c r="D17" s="218"/>
      <c r="E17" s="218"/>
      <c r="F17" s="218"/>
      <c r="G17" s="218"/>
      <c r="H17" s="218"/>
      <c r="I17" s="218"/>
      <c r="J17" s="218"/>
      <c r="K17" s="218"/>
      <c r="L17" s="218"/>
      <c r="M17" s="218"/>
      <c r="N17" s="218"/>
      <c r="O17" s="218"/>
      <c r="P17" s="218"/>
      <c r="Q17" s="218"/>
      <c r="R17" s="218"/>
      <c r="S17" s="218"/>
    </row>
    <row r="18" spans="2:19" x14ac:dyDescent="0.2">
      <c r="B18" s="218"/>
      <c r="C18" s="218"/>
      <c r="D18" s="218"/>
      <c r="E18" s="218"/>
      <c r="F18" s="218"/>
      <c r="G18" s="218"/>
      <c r="H18" s="218"/>
      <c r="I18" s="218"/>
      <c r="J18" s="218"/>
      <c r="K18" s="218"/>
      <c r="L18" s="218"/>
      <c r="M18" s="218"/>
      <c r="N18" s="218"/>
      <c r="O18" s="218"/>
      <c r="P18" s="218"/>
      <c r="Q18" s="218"/>
      <c r="R18" s="218"/>
      <c r="S18" s="218"/>
    </row>
    <row r="19" spans="2:19" x14ac:dyDescent="0.2">
      <c r="B19" s="218"/>
      <c r="C19" s="218"/>
      <c r="D19" s="218"/>
      <c r="E19" s="218"/>
      <c r="F19" s="218"/>
      <c r="G19" s="218"/>
      <c r="H19" s="218"/>
      <c r="I19" s="218"/>
      <c r="J19" s="218"/>
      <c r="K19" s="218"/>
      <c r="L19" s="218"/>
      <c r="M19" s="218"/>
      <c r="N19" s="218"/>
      <c r="O19" s="218"/>
      <c r="P19" s="218"/>
      <c r="Q19" s="218"/>
      <c r="R19" s="218"/>
      <c r="S19" s="218"/>
    </row>
    <row r="20" spans="2:19" x14ac:dyDescent="0.2">
      <c r="B20" s="218"/>
      <c r="C20" s="218"/>
      <c r="D20" s="218"/>
      <c r="E20" s="218"/>
      <c r="F20" s="218"/>
      <c r="G20" s="218"/>
      <c r="H20" s="218"/>
      <c r="I20" s="218"/>
      <c r="J20" s="218"/>
      <c r="K20" s="218"/>
      <c r="L20" s="218"/>
      <c r="M20" s="218"/>
      <c r="N20" s="218"/>
      <c r="O20" s="218"/>
      <c r="P20" s="218"/>
      <c r="Q20" s="218"/>
      <c r="R20" s="218"/>
      <c r="S20" s="218"/>
    </row>
    <row r="21" spans="2:19" x14ac:dyDescent="0.2">
      <c r="B21" s="218"/>
      <c r="C21" s="218"/>
      <c r="D21" s="218"/>
      <c r="E21" s="218"/>
      <c r="F21" s="218"/>
      <c r="G21" s="218"/>
      <c r="H21" s="218"/>
      <c r="I21" s="218"/>
      <c r="J21" s="218"/>
      <c r="K21" s="218"/>
      <c r="L21" s="218"/>
      <c r="M21" s="218"/>
      <c r="N21" s="218"/>
      <c r="O21" s="218"/>
      <c r="P21" s="218"/>
      <c r="Q21" s="218"/>
      <c r="R21" s="218"/>
      <c r="S21" s="218"/>
    </row>
    <row r="22" spans="2:19" x14ac:dyDescent="0.2">
      <c r="B22" s="218"/>
      <c r="C22" s="218"/>
      <c r="D22" s="218"/>
      <c r="E22" s="218"/>
      <c r="F22" s="218"/>
      <c r="G22" s="218"/>
      <c r="H22" s="218"/>
      <c r="I22" s="218"/>
      <c r="J22" s="218"/>
      <c r="K22" s="218"/>
      <c r="L22" s="218"/>
      <c r="M22" s="218"/>
      <c r="N22" s="218"/>
      <c r="O22" s="218"/>
      <c r="P22" s="218"/>
      <c r="Q22" s="218"/>
      <c r="R22" s="218"/>
      <c r="S22" s="218"/>
    </row>
    <row r="23" spans="2:19" x14ac:dyDescent="0.2">
      <c r="B23" s="218"/>
      <c r="C23" s="218"/>
      <c r="D23" s="218"/>
      <c r="E23" s="218"/>
      <c r="F23" s="218"/>
      <c r="G23" s="218"/>
      <c r="H23" s="218"/>
      <c r="I23" s="218"/>
      <c r="J23" s="218"/>
      <c r="K23" s="218"/>
      <c r="L23" s="218"/>
      <c r="M23" s="218"/>
      <c r="N23" s="218"/>
      <c r="O23" s="218"/>
      <c r="P23" s="218"/>
      <c r="Q23" s="218"/>
      <c r="R23" s="218"/>
      <c r="S23" s="218"/>
    </row>
    <row r="24" spans="2:19" x14ac:dyDescent="0.2">
      <c r="B24" s="218"/>
      <c r="C24" s="218"/>
      <c r="D24" s="218"/>
      <c r="E24" s="218"/>
      <c r="F24" s="218"/>
      <c r="G24" s="218"/>
      <c r="H24" s="218"/>
      <c r="I24" s="218"/>
      <c r="J24" s="218"/>
      <c r="K24" s="218"/>
      <c r="L24" s="218"/>
      <c r="M24" s="218"/>
      <c r="N24" s="218"/>
      <c r="O24" s="218"/>
      <c r="P24" s="218"/>
      <c r="Q24" s="218"/>
      <c r="R24" s="218"/>
      <c r="S24" s="218"/>
    </row>
    <row r="25" spans="2:19" x14ac:dyDescent="0.2">
      <c r="B25" s="218"/>
      <c r="C25" s="218"/>
      <c r="D25" s="218"/>
      <c r="E25" s="218"/>
      <c r="F25" s="218"/>
      <c r="G25" s="218"/>
      <c r="H25" s="218"/>
      <c r="I25" s="218"/>
      <c r="J25" s="218"/>
      <c r="K25" s="218"/>
      <c r="L25" s="218"/>
      <c r="M25" s="218"/>
      <c r="N25" s="218"/>
      <c r="O25" s="218"/>
      <c r="P25" s="218"/>
      <c r="Q25" s="218"/>
      <c r="R25" s="218"/>
      <c r="S25" s="218"/>
    </row>
    <row r="26" spans="2:19" x14ac:dyDescent="0.2">
      <c r="B26" s="218"/>
      <c r="C26" s="218"/>
      <c r="D26" s="218"/>
      <c r="E26" s="218"/>
      <c r="F26" s="218"/>
      <c r="G26" s="218"/>
      <c r="H26" s="218"/>
      <c r="I26" s="218"/>
      <c r="J26" s="218"/>
      <c r="K26" s="218"/>
      <c r="L26" s="218"/>
      <c r="M26" s="218"/>
      <c r="N26" s="218"/>
      <c r="O26" s="218"/>
      <c r="P26" s="218"/>
      <c r="Q26" s="218"/>
      <c r="R26" s="218"/>
      <c r="S26" s="218"/>
    </row>
    <row r="27" spans="2:19" x14ac:dyDescent="0.2">
      <c r="B27" s="218"/>
      <c r="C27" s="218"/>
      <c r="D27" s="218"/>
      <c r="E27" s="218"/>
      <c r="F27" s="218"/>
      <c r="G27" s="218"/>
      <c r="H27" s="218"/>
      <c r="I27" s="218"/>
      <c r="J27" s="218"/>
      <c r="K27" s="218"/>
      <c r="L27" s="218"/>
      <c r="M27" s="218"/>
      <c r="N27" s="218"/>
      <c r="O27" s="218"/>
      <c r="P27" s="218"/>
      <c r="Q27" s="218"/>
      <c r="R27" s="218"/>
      <c r="S27" s="218"/>
    </row>
    <row r="28" spans="2:19" x14ac:dyDescent="0.2">
      <c r="B28" s="218"/>
      <c r="C28" s="218"/>
      <c r="D28" s="218"/>
      <c r="E28" s="218"/>
      <c r="F28" s="218"/>
      <c r="G28" s="218"/>
      <c r="H28" s="218"/>
      <c r="I28" s="218"/>
      <c r="J28" s="218"/>
      <c r="K28" s="218"/>
      <c r="L28" s="218"/>
      <c r="M28" s="218"/>
      <c r="N28" s="218"/>
      <c r="O28" s="218"/>
      <c r="P28" s="218"/>
      <c r="Q28" s="218"/>
      <c r="R28" s="218"/>
      <c r="S28" s="218"/>
    </row>
    <row r="29" spans="2:19" x14ac:dyDescent="0.2">
      <c r="B29" s="218"/>
      <c r="C29" s="218"/>
      <c r="D29" s="218"/>
      <c r="E29" s="218"/>
      <c r="F29" s="218"/>
      <c r="G29" s="218"/>
      <c r="H29" s="218"/>
      <c r="I29" s="218"/>
      <c r="J29" s="218"/>
      <c r="K29" s="218"/>
      <c r="L29" s="218"/>
      <c r="M29" s="218"/>
      <c r="N29" s="218"/>
      <c r="O29" s="218"/>
      <c r="P29" s="218"/>
      <c r="Q29" s="218"/>
      <c r="R29" s="218"/>
      <c r="S29" s="218"/>
    </row>
    <row r="30" spans="2:19" x14ac:dyDescent="0.2">
      <c r="B30" s="218"/>
      <c r="C30" s="218"/>
      <c r="D30" s="218"/>
      <c r="E30" s="218"/>
      <c r="F30" s="218"/>
      <c r="G30" s="218"/>
      <c r="H30" s="218"/>
      <c r="I30" s="218"/>
      <c r="J30" s="218"/>
      <c r="K30" s="218"/>
      <c r="L30" s="218"/>
      <c r="M30" s="218"/>
      <c r="N30" s="218"/>
      <c r="O30" s="218"/>
      <c r="P30" s="218"/>
      <c r="Q30" s="218"/>
      <c r="R30" s="218"/>
      <c r="S30" s="218"/>
    </row>
    <row r="31" spans="2:19" x14ac:dyDescent="0.2">
      <c r="B31" s="218"/>
      <c r="C31" s="218"/>
      <c r="D31" s="218"/>
      <c r="E31" s="218"/>
      <c r="F31" s="218"/>
      <c r="G31" s="218"/>
      <c r="H31" s="218"/>
      <c r="I31" s="218"/>
      <c r="J31" s="218"/>
      <c r="K31" s="218"/>
      <c r="L31" s="218"/>
      <c r="M31" s="218"/>
      <c r="N31" s="218"/>
      <c r="O31" s="218"/>
      <c r="P31" s="218"/>
      <c r="Q31" s="218"/>
      <c r="R31" s="218"/>
      <c r="S31" s="218"/>
    </row>
    <row r="32" spans="2:19" x14ac:dyDescent="0.2">
      <c r="B32" s="218"/>
      <c r="C32" s="218"/>
      <c r="D32" s="218"/>
      <c r="E32" s="218"/>
      <c r="F32" s="218"/>
      <c r="G32" s="218"/>
      <c r="H32" s="218"/>
      <c r="I32" s="218"/>
      <c r="J32" s="218"/>
      <c r="K32" s="218"/>
      <c r="L32" s="218"/>
      <c r="M32" s="218"/>
      <c r="N32" s="218"/>
      <c r="O32" s="218"/>
      <c r="P32" s="218"/>
      <c r="Q32" s="218"/>
      <c r="R32" s="218"/>
      <c r="S32" s="218"/>
    </row>
    <row r="33" spans="2:19" x14ac:dyDescent="0.2">
      <c r="B33" s="218"/>
      <c r="C33" s="218"/>
      <c r="D33" s="218"/>
      <c r="E33" s="218"/>
      <c r="F33" s="218"/>
      <c r="G33" s="218"/>
      <c r="H33" s="218"/>
      <c r="I33" s="218"/>
      <c r="J33" s="218"/>
      <c r="K33" s="218"/>
      <c r="L33" s="218"/>
      <c r="M33" s="218"/>
      <c r="N33" s="218"/>
      <c r="O33" s="218"/>
      <c r="P33" s="218"/>
      <c r="Q33" s="218"/>
      <c r="R33" s="218"/>
      <c r="S33" s="218"/>
    </row>
    <row r="34" spans="2:19" x14ac:dyDescent="0.2">
      <c r="B34" s="218"/>
      <c r="C34" s="218"/>
      <c r="D34" s="218"/>
      <c r="E34" s="218"/>
      <c r="F34" s="218"/>
      <c r="G34" s="218"/>
      <c r="H34" s="218"/>
      <c r="I34" s="218"/>
      <c r="J34" s="218"/>
      <c r="K34" s="218"/>
      <c r="L34" s="218"/>
      <c r="M34" s="218"/>
      <c r="N34" s="218"/>
      <c r="O34" s="218"/>
      <c r="P34" s="218"/>
      <c r="Q34" s="218"/>
      <c r="R34" s="218"/>
      <c r="S34" s="218"/>
    </row>
    <row r="35" spans="2:19" x14ac:dyDescent="0.2">
      <c r="B35" s="218"/>
      <c r="C35" s="218"/>
      <c r="D35" s="218"/>
      <c r="E35" s="218"/>
      <c r="F35" s="218"/>
      <c r="G35" s="218"/>
      <c r="H35" s="218"/>
      <c r="I35" s="218"/>
      <c r="J35" s="218"/>
      <c r="K35" s="218"/>
      <c r="L35" s="218"/>
      <c r="M35" s="218"/>
      <c r="N35" s="218"/>
      <c r="O35" s="218"/>
      <c r="P35" s="218"/>
      <c r="Q35" s="218"/>
      <c r="R35" s="218"/>
      <c r="S35" s="218"/>
    </row>
    <row r="36" spans="2:19" x14ac:dyDescent="0.2">
      <c r="B36" s="218"/>
      <c r="C36" s="218"/>
      <c r="D36" s="218"/>
      <c r="E36" s="218"/>
      <c r="F36" s="218"/>
      <c r="G36" s="218"/>
      <c r="H36" s="218"/>
      <c r="I36" s="218"/>
      <c r="J36" s="218"/>
      <c r="K36" s="218"/>
      <c r="L36" s="218"/>
      <c r="M36" s="218"/>
      <c r="N36" s="218"/>
      <c r="O36" s="218"/>
      <c r="P36" s="218"/>
      <c r="Q36" s="218"/>
      <c r="R36" s="218"/>
      <c r="S36" s="218"/>
    </row>
    <row r="37" spans="2:19" x14ac:dyDescent="0.2">
      <c r="B37" s="218"/>
      <c r="C37" s="218"/>
      <c r="D37" s="218"/>
      <c r="E37" s="218"/>
      <c r="F37" s="218"/>
      <c r="G37" s="218"/>
      <c r="H37" s="218"/>
      <c r="I37" s="218"/>
      <c r="J37" s="218"/>
      <c r="K37" s="218"/>
      <c r="L37" s="218"/>
      <c r="M37" s="218"/>
      <c r="N37" s="218"/>
      <c r="O37" s="218"/>
      <c r="P37" s="218"/>
      <c r="Q37" s="218"/>
      <c r="R37" s="218"/>
      <c r="S37" s="218"/>
    </row>
    <row r="38" spans="2:19" x14ac:dyDescent="0.2">
      <c r="B38" s="218"/>
      <c r="C38" s="218"/>
      <c r="D38" s="218"/>
      <c r="E38" s="218"/>
      <c r="F38" s="218"/>
      <c r="G38" s="218"/>
      <c r="H38" s="218"/>
      <c r="I38" s="218"/>
      <c r="J38" s="218"/>
      <c r="K38" s="218"/>
      <c r="L38" s="218"/>
      <c r="M38" s="218"/>
      <c r="N38" s="218"/>
      <c r="O38" s="218"/>
      <c r="P38" s="218"/>
      <c r="Q38" s="218"/>
      <c r="R38" s="218"/>
      <c r="S38" s="218"/>
    </row>
    <row r="39" spans="2:19" x14ac:dyDescent="0.2">
      <c r="B39" s="218"/>
      <c r="C39" s="218"/>
      <c r="D39" s="218"/>
      <c r="E39" s="218"/>
      <c r="F39" s="218"/>
      <c r="G39" s="218"/>
      <c r="H39" s="218"/>
      <c r="I39" s="218"/>
      <c r="J39" s="218"/>
      <c r="K39" s="218"/>
      <c r="L39" s="218"/>
      <c r="M39" s="218"/>
      <c r="N39" s="218"/>
      <c r="O39" s="218"/>
      <c r="P39" s="218"/>
      <c r="Q39" s="218"/>
      <c r="R39" s="218"/>
      <c r="S39" s="218"/>
    </row>
    <row r="40" spans="2:19" x14ac:dyDescent="0.2">
      <c r="B40" s="218"/>
      <c r="C40" s="218"/>
      <c r="D40" s="218"/>
      <c r="E40" s="218"/>
      <c r="F40" s="218"/>
      <c r="G40" s="218"/>
      <c r="H40" s="218"/>
      <c r="I40" s="218"/>
      <c r="J40" s="218"/>
      <c r="K40" s="218"/>
      <c r="L40" s="218"/>
      <c r="M40" s="218"/>
      <c r="N40" s="218"/>
      <c r="O40" s="218"/>
      <c r="P40" s="218"/>
      <c r="Q40" s="218"/>
      <c r="R40" s="218"/>
      <c r="S40" s="218"/>
    </row>
    <row r="41" spans="2:19" x14ac:dyDescent="0.2">
      <c r="B41" s="218"/>
      <c r="C41" s="218"/>
      <c r="D41" s="218"/>
      <c r="E41" s="218"/>
      <c r="F41" s="218"/>
      <c r="G41" s="218"/>
      <c r="H41" s="218"/>
      <c r="I41" s="218"/>
      <c r="J41" s="218"/>
      <c r="K41" s="218"/>
      <c r="L41" s="218"/>
      <c r="M41" s="218"/>
      <c r="N41" s="218"/>
      <c r="O41" s="218"/>
      <c r="P41" s="218"/>
      <c r="Q41" s="218"/>
      <c r="R41" s="218"/>
      <c r="S41" s="218"/>
    </row>
    <row r="42" spans="2:19" x14ac:dyDescent="0.2">
      <c r="B42" s="218"/>
      <c r="C42" s="218"/>
      <c r="D42" s="218"/>
      <c r="E42" s="218"/>
      <c r="F42" s="218"/>
      <c r="G42" s="218"/>
      <c r="H42" s="218"/>
      <c r="I42" s="218"/>
      <c r="J42" s="218"/>
      <c r="K42" s="218"/>
      <c r="L42" s="218"/>
      <c r="M42" s="218"/>
      <c r="N42" s="218"/>
      <c r="O42" s="218"/>
      <c r="P42" s="218"/>
      <c r="Q42" s="218"/>
      <c r="R42" s="218"/>
      <c r="S42" s="218"/>
    </row>
    <row r="43" spans="2:19" ht="13.5" thickBot="1" x14ac:dyDescent="0.25">
      <c r="B43" s="218"/>
      <c r="C43" s="218"/>
      <c r="D43" s="218"/>
      <c r="E43" s="218"/>
      <c r="F43" s="218"/>
      <c r="G43" s="218"/>
      <c r="H43" s="218"/>
      <c r="I43" s="218"/>
      <c r="J43" s="218"/>
      <c r="K43" s="218"/>
      <c r="L43" s="218"/>
      <c r="M43" s="218"/>
      <c r="N43" s="218"/>
      <c r="O43" s="218"/>
      <c r="P43" s="218"/>
      <c r="Q43" s="218"/>
      <c r="R43" s="218"/>
      <c r="S43" s="218"/>
    </row>
    <row r="44" spans="2:19" s="228" customFormat="1" ht="23.25" customHeight="1" thickBot="1" x14ac:dyDescent="0.25">
      <c r="B44" s="219"/>
      <c r="C44" s="219"/>
      <c r="D44" s="216"/>
      <c r="E44" s="220"/>
      <c r="F44" s="221"/>
      <c r="G44" s="222" t="s">
        <v>92</v>
      </c>
      <c r="H44" s="223"/>
      <c r="I44" s="224"/>
      <c r="J44" s="223"/>
      <c r="K44" s="223"/>
      <c r="L44" s="225">
        <v>2020</v>
      </c>
      <c r="M44" s="224"/>
      <c r="N44" s="224"/>
      <c r="O44" s="224"/>
      <c r="P44" s="226">
        <v>2021</v>
      </c>
      <c r="Q44" s="227"/>
      <c r="R44" s="216"/>
      <c r="S44" s="219"/>
    </row>
    <row r="45" spans="2:19" s="230" customFormat="1" ht="14.25" customHeight="1" x14ac:dyDescent="0.2">
      <c r="B45" s="218"/>
      <c r="C45" s="218"/>
      <c r="D45" s="218"/>
      <c r="E45" s="218"/>
      <c r="F45" s="218"/>
      <c r="G45" s="218"/>
      <c r="H45" s="218"/>
      <c r="I45" s="218"/>
      <c r="J45" s="218"/>
      <c r="K45" s="218"/>
      <c r="L45" s="229"/>
      <c r="M45" s="229"/>
      <c r="N45" s="229"/>
      <c r="O45" s="229"/>
      <c r="P45" s="229"/>
      <c r="Q45" s="229"/>
      <c r="R45" s="229"/>
      <c r="S45" s="229"/>
    </row>
  </sheetData>
  <printOptions horizontalCentered="1"/>
  <pageMargins left="0" right="0" top="0.59055118110236227" bottom="0" header="0.39370078740157483" footer="0.39370078740157483"/>
  <pageSetup paperSize="9" scale="91" orientation="landscape"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202</vt:i4>
      </vt:variant>
    </vt:vector>
  </HeadingPairs>
  <TitlesOfParts>
    <vt:vector size="209" baseType="lpstr">
      <vt:lpstr>Delivery of compounds 2021</vt:lpstr>
      <vt:lpstr>Delivery of compounds 2020</vt:lpstr>
      <vt:lpstr>Deliveries outside NI  </vt:lpstr>
      <vt:lpstr>Raw material usage  </vt:lpstr>
      <vt:lpstr>Raw materials sold direct </vt:lpstr>
      <vt:lpstr>Graphs</vt:lpstr>
      <vt:lpstr>Sheet1</vt:lpstr>
      <vt:lpstr>'Raw material usage  '!ACTUALA</vt:lpstr>
      <vt:lpstr>'Raw materials sold direct '!ACTUALA</vt:lpstr>
      <vt:lpstr>'Raw material usage  '!barlni_q1</vt:lpstr>
      <vt:lpstr>'Raw materials sold direct '!barlni_q1</vt:lpstr>
      <vt:lpstr>'Raw material usage  '!barlni_q2</vt:lpstr>
      <vt:lpstr>'Raw materials sold direct '!barlni_q2</vt:lpstr>
      <vt:lpstr>'Raw material usage  '!barlni_q3</vt:lpstr>
      <vt:lpstr>'Raw materials sold direct '!barlni_q3</vt:lpstr>
      <vt:lpstr>'Raw material usage  '!barlni_q4</vt:lpstr>
      <vt:lpstr>'Raw materials sold direct '!barlni_q4</vt:lpstr>
      <vt:lpstr>'Raw material usage  '!barlni_tot</vt:lpstr>
      <vt:lpstr>'Raw materials sold direct '!barlni_tot</vt:lpstr>
      <vt:lpstr>'Raw material usage  '!bean_q1</vt:lpstr>
      <vt:lpstr>'Raw materials sold direct '!bean_q1</vt:lpstr>
      <vt:lpstr>'Raw material usage  '!bean_q2</vt:lpstr>
      <vt:lpstr>'Raw materials sold direct '!bean_q2</vt:lpstr>
      <vt:lpstr>'Raw material usage  '!bean_q3</vt:lpstr>
      <vt:lpstr>'Raw materials sold direct '!bean_q3</vt:lpstr>
      <vt:lpstr>'Raw material usage  '!bean_q4</vt:lpstr>
      <vt:lpstr>'Raw materials sold direct '!bean_q4</vt:lpstr>
      <vt:lpstr>'Raw material usage  '!bean_tot</vt:lpstr>
      <vt:lpstr>'Raw materials sold direct '!bean_tot</vt:lpstr>
      <vt:lpstr>'Raw material usage  '!bone_q1</vt:lpstr>
      <vt:lpstr>'Raw material usage  '!bone_q2</vt:lpstr>
      <vt:lpstr>'Raw material usage  '!bone_q3</vt:lpstr>
      <vt:lpstr>'Raw material usage  '!bone_q4</vt:lpstr>
      <vt:lpstr>'Raw material usage  '!bone_tot</vt:lpstr>
      <vt:lpstr>'Raw material usage  '!cerby_q1</vt:lpstr>
      <vt:lpstr>'Raw materials sold direct '!cerby_q1</vt:lpstr>
      <vt:lpstr>'Raw material usage  '!cerby_q2</vt:lpstr>
      <vt:lpstr>'Raw materials sold direct '!cerby_q2</vt:lpstr>
      <vt:lpstr>'Raw material usage  '!cerby_q3</vt:lpstr>
      <vt:lpstr>'Raw materials sold direct '!cerby_q3</vt:lpstr>
      <vt:lpstr>'Raw material usage  '!cerby_q4</vt:lpstr>
      <vt:lpstr>'Raw materials sold direct '!cerby_q4</vt:lpstr>
      <vt:lpstr>'Raw material usage  '!cerby_tot</vt:lpstr>
      <vt:lpstr>'Raw materials sold direct '!cerby_tot</vt:lpstr>
      <vt:lpstr>'Raw material usage  '!citrus_q1</vt:lpstr>
      <vt:lpstr>'Raw materials sold direct '!citrus_q1</vt:lpstr>
      <vt:lpstr>'Raw material usage  '!citrus_q2</vt:lpstr>
      <vt:lpstr>'Raw materials sold direct '!citrus_q2</vt:lpstr>
      <vt:lpstr>'Raw material usage  '!citrus_q3</vt:lpstr>
      <vt:lpstr>'Raw materials sold direct '!citrus_q3</vt:lpstr>
      <vt:lpstr>'Raw material usage  '!citrus_q4</vt:lpstr>
      <vt:lpstr>'Raw materials sold direct '!citrus_q4</vt:lpstr>
      <vt:lpstr>'Raw material usage  '!citrus_tot</vt:lpstr>
      <vt:lpstr>'Raw materials sold direct '!citrus_tot</vt:lpstr>
      <vt:lpstr>'Raw material usage  '!fish_q1</vt:lpstr>
      <vt:lpstr>'Raw materials sold direct '!fish_q1</vt:lpstr>
      <vt:lpstr>'Raw material usage  '!fish_q2</vt:lpstr>
      <vt:lpstr>'Raw materials sold direct '!fish_q2</vt:lpstr>
      <vt:lpstr>'Raw material usage  '!fish_q3</vt:lpstr>
      <vt:lpstr>'Raw materials sold direct '!fish_q3</vt:lpstr>
      <vt:lpstr>'Raw material usage  '!fish_q4</vt:lpstr>
      <vt:lpstr>'Raw materials sold direct '!fish_q4</vt:lpstr>
      <vt:lpstr>'Raw material usage  '!fish_tot</vt:lpstr>
      <vt:lpstr>'Raw materials sold direct '!fish_tot</vt:lpstr>
      <vt:lpstr>'Raw material usage  '!forage_q1</vt:lpstr>
      <vt:lpstr>'Raw materials sold direct '!forage_q1</vt:lpstr>
      <vt:lpstr>'Raw material usage  '!forage_q2</vt:lpstr>
      <vt:lpstr>'Raw materials sold direct '!forage_q2</vt:lpstr>
      <vt:lpstr>'Raw material usage  '!forage_q3</vt:lpstr>
      <vt:lpstr>'Raw materials sold direct '!forage_q3</vt:lpstr>
      <vt:lpstr>'Raw material usage  '!forage_q4</vt:lpstr>
      <vt:lpstr>'Raw materials sold direct '!forage_q4</vt:lpstr>
      <vt:lpstr>'Raw material usage  '!forage_tot</vt:lpstr>
      <vt:lpstr>'Raw materials sold direct '!forage_tot</vt:lpstr>
      <vt:lpstr>'Raw material usage  '!maize_q1</vt:lpstr>
      <vt:lpstr>'Raw materials sold direct '!maize_q1</vt:lpstr>
      <vt:lpstr>'Raw material usage  '!maize_q2</vt:lpstr>
      <vt:lpstr>'Raw materials sold direct '!maize_q2</vt:lpstr>
      <vt:lpstr>'Raw material usage  '!maize_q3</vt:lpstr>
      <vt:lpstr>'Raw materials sold direct '!maize_q3</vt:lpstr>
      <vt:lpstr>'Raw material usage  '!maize_q4</vt:lpstr>
      <vt:lpstr>'Raw materials sold direct '!maize_q4</vt:lpstr>
      <vt:lpstr>'Raw material usage  '!maize_tot</vt:lpstr>
      <vt:lpstr>'Raw materials sold direct '!maize_tot</vt:lpstr>
      <vt:lpstr>'Raw material usage  '!maizegl_q1</vt:lpstr>
      <vt:lpstr>'Raw materials sold direct '!maizegl_q1</vt:lpstr>
      <vt:lpstr>'Raw material usage  '!maizegl_q2</vt:lpstr>
      <vt:lpstr>'Raw materials sold direct '!maizegl_q2</vt:lpstr>
      <vt:lpstr>'Raw material usage  '!maizegl_q3</vt:lpstr>
      <vt:lpstr>'Raw materials sold direct '!maizegl_q3</vt:lpstr>
      <vt:lpstr>'Raw material usage  '!maizegl_q4</vt:lpstr>
      <vt:lpstr>'Raw materials sold direct '!maizegl_q4</vt:lpstr>
      <vt:lpstr>'Raw material usage  '!maizegl_tot</vt:lpstr>
      <vt:lpstr>'Raw materials sold direct '!maizegl_tot</vt:lpstr>
      <vt:lpstr>'Raw material usage  '!malt_q1</vt:lpstr>
      <vt:lpstr>'Raw materials sold direct '!malt_q1</vt:lpstr>
      <vt:lpstr>'Raw material usage  '!malt_q2</vt:lpstr>
      <vt:lpstr>'Raw materials sold direct '!malt_q2</vt:lpstr>
      <vt:lpstr>'Raw material usage  '!malt_q3</vt:lpstr>
      <vt:lpstr>'Raw materials sold direct '!malt_q3</vt:lpstr>
      <vt:lpstr>'Raw material usage  '!malt_q4</vt:lpstr>
      <vt:lpstr>'Raw materials sold direct '!malt_q4</vt:lpstr>
      <vt:lpstr>'Raw material usage  '!malt_tot</vt:lpstr>
      <vt:lpstr>'Raw materials sold direct '!malt_tot</vt:lpstr>
      <vt:lpstr>'Raw material usage  '!milk_q1</vt:lpstr>
      <vt:lpstr>'Raw materials sold direct '!milk_q1</vt:lpstr>
      <vt:lpstr>'Raw material usage  '!milk_q2</vt:lpstr>
      <vt:lpstr>'Raw materials sold direct '!milk_q2</vt:lpstr>
      <vt:lpstr>'Raw material usage  '!milk_q3</vt:lpstr>
      <vt:lpstr>'Raw materials sold direct '!milk_q3</vt:lpstr>
      <vt:lpstr>'Raw material usage  '!milk_q4</vt:lpstr>
      <vt:lpstr>'Raw materials sold direct '!milk_q4</vt:lpstr>
      <vt:lpstr>'Raw material usage  '!milk_tot</vt:lpstr>
      <vt:lpstr>'Raw materials sold direct '!milk_tot</vt:lpstr>
      <vt:lpstr>'Raw material usage  '!minvit_q1</vt:lpstr>
      <vt:lpstr>'Raw materials sold direct '!minvit_q1</vt:lpstr>
      <vt:lpstr>'Raw material usage  '!minvit_q2</vt:lpstr>
      <vt:lpstr>'Raw materials sold direct '!minvit_q2</vt:lpstr>
      <vt:lpstr>'Raw material usage  '!minvit_q3</vt:lpstr>
      <vt:lpstr>'Raw materials sold direct '!minvit_q3</vt:lpstr>
      <vt:lpstr>'Raw material usage  '!minvit_q4</vt:lpstr>
      <vt:lpstr>'Raw materials sold direct '!minvit_q4</vt:lpstr>
      <vt:lpstr>'Raw material usage  '!minvit_tot</vt:lpstr>
      <vt:lpstr>'Raw materials sold direct '!minvit_tot</vt:lpstr>
      <vt:lpstr>'Raw material usage  '!mol_q1</vt:lpstr>
      <vt:lpstr>'Raw materials sold direct '!mol_q1</vt:lpstr>
      <vt:lpstr>'Raw material usage  '!mol_q2</vt:lpstr>
      <vt:lpstr>'Raw materials sold direct '!mol_q2</vt:lpstr>
      <vt:lpstr>'Raw material usage  '!mol_q3</vt:lpstr>
      <vt:lpstr>'Raw materials sold direct '!mol_q3</vt:lpstr>
      <vt:lpstr>'Raw material usage  '!mol_q4</vt:lpstr>
      <vt:lpstr>'Raw materials sold direct '!mol_q4</vt:lpstr>
      <vt:lpstr>'Raw material usage  '!mol_tot</vt:lpstr>
      <vt:lpstr>'Raw materials sold direct '!mol_tot</vt:lpstr>
      <vt:lpstr>'Raw material usage  '!othmat_q1</vt:lpstr>
      <vt:lpstr>'Raw materials sold direct '!othmat_q1</vt:lpstr>
      <vt:lpstr>'Raw material usage  '!othmat_q2</vt:lpstr>
      <vt:lpstr>'Raw materials sold direct '!othmat_q2</vt:lpstr>
      <vt:lpstr>'Raw material usage  '!othmat_q3</vt:lpstr>
      <vt:lpstr>'Raw materials sold direct '!othmat_q3</vt:lpstr>
      <vt:lpstr>'Raw material usage  '!othmat_q4</vt:lpstr>
      <vt:lpstr>'Raw materials sold direct '!othmat_q4</vt:lpstr>
      <vt:lpstr>'Raw material usage  '!othmat_tot</vt:lpstr>
      <vt:lpstr>'Raw materials sold direct '!othmat_tot</vt:lpstr>
      <vt:lpstr>'Raw material usage  '!othoils_q1</vt:lpstr>
      <vt:lpstr>'Raw materials sold direct '!othoils_q1</vt:lpstr>
      <vt:lpstr>'Raw material usage  '!othoils_q2</vt:lpstr>
      <vt:lpstr>'Raw materials sold direct '!othoils_q2</vt:lpstr>
      <vt:lpstr>'Raw material usage  '!othoils_q3</vt:lpstr>
      <vt:lpstr>'Raw materials sold direct '!othoils_q3</vt:lpstr>
      <vt:lpstr>'Raw material usage  '!othoils_q4</vt:lpstr>
      <vt:lpstr>'Raw materials sold direct '!othoils_q4</vt:lpstr>
      <vt:lpstr>'Raw material usage  '!othoils_tot</vt:lpstr>
      <vt:lpstr>'Raw materials sold direct '!othoils_tot</vt:lpstr>
      <vt:lpstr>'Deliveries outside NI  '!Print_Area</vt:lpstr>
      <vt:lpstr>Graphs!Print_Area</vt:lpstr>
      <vt:lpstr>'Raw material usage  '!QTR1A</vt:lpstr>
      <vt:lpstr>'Raw materials sold direct '!QTR1A</vt:lpstr>
      <vt:lpstr>'Raw material usage  '!QTR2A</vt:lpstr>
      <vt:lpstr>'Raw materials sold direct '!QTR2A</vt:lpstr>
      <vt:lpstr>'Raw material usage  '!QTR3A</vt:lpstr>
      <vt:lpstr>'Raw materials sold direct '!QTR3A</vt:lpstr>
      <vt:lpstr>'Raw material usage  '!QTR4A</vt:lpstr>
      <vt:lpstr>'Raw materials sold direct '!QTR4A</vt:lpstr>
      <vt:lpstr>'Raw material usage  '!rapecake_q1</vt:lpstr>
      <vt:lpstr>'Raw material usage  '!rapecake_q2</vt:lpstr>
      <vt:lpstr>'Raw material usage  '!rapecake_q3</vt:lpstr>
      <vt:lpstr>'Raw material usage  '!rapecake_q4</vt:lpstr>
      <vt:lpstr>'Raw material usage  '!rapecake_tot</vt:lpstr>
      <vt:lpstr>'Raw material usage  '!root_q1</vt:lpstr>
      <vt:lpstr>'Raw materials sold direct '!root_q1</vt:lpstr>
      <vt:lpstr>'Raw material usage  '!root_q2</vt:lpstr>
      <vt:lpstr>'Raw materials sold direct '!root_q2</vt:lpstr>
      <vt:lpstr>'Raw material usage  '!root_q3</vt:lpstr>
      <vt:lpstr>'Raw materials sold direct '!root_q3</vt:lpstr>
      <vt:lpstr>'Raw material usage  '!root_q4</vt:lpstr>
      <vt:lpstr>'Raw materials sold direct '!root_q4</vt:lpstr>
      <vt:lpstr>'Raw material usage  '!root_tot</vt:lpstr>
      <vt:lpstr>'Raw materials sold direct '!root_tot</vt:lpstr>
      <vt:lpstr>'Raw material usage  '!soyacake_q1</vt:lpstr>
      <vt:lpstr>'Raw materials sold direct '!soyacake_q1</vt:lpstr>
      <vt:lpstr>'Raw material usage  '!soyacake_q2</vt:lpstr>
      <vt:lpstr>'Raw materials sold direct '!soyacake_q2</vt:lpstr>
      <vt:lpstr>'Raw material usage  '!soyacake_q3</vt:lpstr>
      <vt:lpstr>'Raw materials sold direct '!soyacake_q3</vt:lpstr>
      <vt:lpstr>'Raw material usage  '!soyacake_q4</vt:lpstr>
      <vt:lpstr>'Raw materials sold direct '!soyacake_q4</vt:lpstr>
      <vt:lpstr>'Raw material usage  '!soyacake_tot</vt:lpstr>
      <vt:lpstr>'Raw materials sold direct '!soyacake_tot</vt:lpstr>
      <vt:lpstr>'Raw material usage  '!tot_q1</vt:lpstr>
      <vt:lpstr>'Raw materials sold direct '!tot_q1</vt:lpstr>
      <vt:lpstr>'Raw material usage  '!tot_q2</vt:lpstr>
      <vt:lpstr>'Raw materials sold direct '!tot_q2</vt:lpstr>
      <vt:lpstr>'Raw material usage  '!tot_q3</vt:lpstr>
      <vt:lpstr>'Raw materials sold direct '!tot_q3</vt:lpstr>
      <vt:lpstr>'Raw material usage  '!tot_q4</vt:lpstr>
      <vt:lpstr>'Raw materials sold direct '!tot_q4</vt:lpstr>
      <vt:lpstr>'Raw material usage  '!total</vt:lpstr>
      <vt:lpstr>'Raw materials sold direct '!total</vt:lpstr>
      <vt:lpstr>'Raw material usage  '!wheatni_q1</vt:lpstr>
      <vt:lpstr>'Raw materials sold direct '!wheatni_q1</vt:lpstr>
      <vt:lpstr>'Raw material usage  '!wheatni_q2</vt:lpstr>
      <vt:lpstr>'Raw materials sold direct '!wheatni_q2</vt:lpstr>
      <vt:lpstr>'Raw material usage  '!wheatni_q3</vt:lpstr>
      <vt:lpstr>'Raw materials sold direct '!wheatni_q3</vt:lpstr>
      <vt:lpstr>'Raw material usage  '!wheatni_q4</vt:lpstr>
      <vt:lpstr>'Raw materials sold direct '!wheatni_q4</vt:lpstr>
      <vt:lpstr>'Raw material usage  '!wheatni_tot</vt:lpstr>
      <vt:lpstr>'Raw materials sold direct '!wheatni_tot</vt:lpstr>
    </vt:vector>
  </TitlesOfParts>
  <Company>DARDNI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Cornelia</cp:lastModifiedBy>
  <cp:lastPrinted>2017-06-15T11:21:05Z</cp:lastPrinted>
  <dcterms:created xsi:type="dcterms:W3CDTF">2006-03-14T09:05:56Z</dcterms:created>
  <dcterms:modified xsi:type="dcterms:W3CDTF">2022-03-11T13:40:13Z</dcterms:modified>
</cp:coreProperties>
</file>